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jpe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hforce.sharepoint.com/sites/Marketing/Shared Documents/Webinars/Start with the End in Mind/"/>
    </mc:Choice>
  </mc:AlternateContent>
  <xr:revisionPtr revIDLastSave="331" documentId="8_{3D520772-57E8-4A53-8949-D5776DE5F61A}" xr6:coauthVersionLast="47" xr6:coauthVersionMax="47" xr10:uidLastSave="{6241847F-66EF-46F5-8204-6730D06FAA3C}"/>
  <bookViews>
    <workbookView xWindow="-28920" yWindow="-120" windowWidth="29040" windowHeight="15720" tabRatio="500" firstSheet="3" activeTab="3" xr2:uid="{00000000-000D-0000-FFFF-FFFF00000000}"/>
  </bookViews>
  <sheets>
    <sheet name="Executive Summary" sheetId="10" r:id="rId1"/>
    <sheet name="Graphs Summary" sheetId="2" r:id="rId2"/>
    <sheet name="Instructions" sheetId="1" r:id="rId3"/>
    <sheet name="Dashboard" sheetId="3" r:id="rId4"/>
    <sheet name="Range Analysis" sheetId="4" r:id="rId5"/>
    <sheet name="Breakeven" sheetId="5" r:id="rId6"/>
    <sheet name="Guard Band Analysis" sheetId="6" r:id="rId7"/>
    <sheet name="Standard Switching" sheetId="7" r:id="rId8"/>
    <sheet name="Risk Calc" sheetId="8" r:id="rId9"/>
    <sheet name="Validation" sheetId="9" r:id="rId10"/>
  </sheets>
  <definedNames>
    <definedName name="_xlnm._FilterDatabase" localSheetId="4" hidden="1">'Range Analysis'!$A$23:$V$29</definedName>
    <definedName name="_xlnm.Print_Area" localSheetId="3">Dashboard!$A$2:$V$31</definedName>
    <definedName name="_xlnm.Print_Area" localSheetId="0">'Executive Summary'!$A$1:$I$39</definedName>
    <definedName name="_xlnm.Print_Area" localSheetId="4">'Range Analysis'!$A$1:$V$30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3" i="4" l="1"/>
  <c r="B5" i="4"/>
  <c r="B74" i="3"/>
  <c r="B16" i="3"/>
  <c r="B9" i="3"/>
  <c r="A17" i="10" l="1"/>
  <c r="H97" i="3"/>
  <c r="H96" i="3"/>
  <c r="H95" i="3"/>
  <c r="H94" i="3"/>
  <c r="H93" i="3"/>
  <c r="H92" i="3"/>
  <c r="H91" i="3"/>
  <c r="C97" i="3"/>
  <c r="A97" i="3"/>
  <c r="C96" i="3"/>
  <c r="A96" i="3"/>
  <c r="C95" i="3"/>
  <c r="A95" i="3"/>
  <c r="C94" i="3"/>
  <c r="A94" i="3"/>
  <c r="C93" i="3"/>
  <c r="A93" i="3"/>
  <c r="C92" i="3"/>
  <c r="A92" i="3"/>
  <c r="C91" i="3"/>
  <c r="A91" i="3"/>
  <c r="A89" i="3"/>
  <c r="I2" i="10"/>
  <c r="A38" i="10"/>
  <c r="I30" i="4"/>
  <c r="I29" i="4"/>
  <c r="I28" i="4"/>
  <c r="I27" i="4"/>
  <c r="I26" i="4"/>
  <c r="I25" i="4"/>
  <c r="I24" i="4"/>
  <c r="C30" i="4"/>
  <c r="C29" i="4"/>
  <c r="C28" i="4"/>
  <c r="C27" i="4"/>
  <c r="C26" i="4"/>
  <c r="C25" i="4"/>
  <c r="B30" i="4"/>
  <c r="B29" i="4"/>
  <c r="B28" i="4"/>
  <c r="B27" i="4"/>
  <c r="B26" i="4"/>
  <c r="B25" i="4"/>
  <c r="B24" i="4"/>
  <c r="H7" i="10"/>
  <c r="G7" i="10"/>
  <c r="F7" i="10"/>
  <c r="E7" i="10"/>
  <c r="C7" i="10"/>
  <c r="B7" i="10"/>
  <c r="A7" i="10"/>
  <c r="A39" i="10"/>
  <c r="A25" i="10"/>
  <c r="A24" i="10"/>
  <c r="A23" i="10"/>
  <c r="A22" i="10"/>
  <c r="A21" i="10"/>
  <c r="A20" i="10"/>
  <c r="A19" i="10"/>
  <c r="D65" i="9" l="1"/>
  <c r="B91" i="9"/>
  <c r="A83" i="2"/>
  <c r="O37" i="5"/>
  <c r="M93" i="2" s="1"/>
  <c r="O36" i="5"/>
  <c r="O35" i="5"/>
  <c r="O34" i="5"/>
  <c r="M90" i="2" s="1"/>
  <c r="O33" i="5"/>
  <c r="M89" i="2" s="1"/>
  <c r="O32" i="5"/>
  <c r="M88" i="2" s="1"/>
  <c r="O31" i="5"/>
  <c r="C65" i="9" s="1"/>
  <c r="L59" i="8"/>
  <c r="K59" i="8"/>
  <c r="J59" i="8"/>
  <c r="H16" i="8"/>
  <c r="H17" i="8" s="1"/>
  <c r="G16" i="8"/>
  <c r="G17" i="8" s="1"/>
  <c r="C29" i="3" s="1"/>
  <c r="F16" i="8"/>
  <c r="F17" i="8" s="1"/>
  <c r="F25" i="8" s="1"/>
  <c r="P28" i="3" s="1"/>
  <c r="E16" i="8"/>
  <c r="E17" i="8" s="1"/>
  <c r="C27" i="3" s="1"/>
  <c r="D16" i="8"/>
  <c r="D17" i="8" s="1"/>
  <c r="C16" i="8"/>
  <c r="C17" i="8" s="1"/>
  <c r="B8" i="8"/>
  <c r="B6" i="8"/>
  <c r="E25" i="7"/>
  <c r="D25" i="7"/>
  <c r="O13" i="7"/>
  <c r="G13" i="7"/>
  <c r="O12" i="7"/>
  <c r="G12" i="7"/>
  <c r="O11" i="7"/>
  <c r="G11" i="7"/>
  <c r="B6" i="7"/>
  <c r="F13" i="7" s="1"/>
  <c r="C24" i="7" s="1"/>
  <c r="B5" i="7"/>
  <c r="B28" i="5"/>
  <c r="B27" i="5"/>
  <c r="B26" i="5"/>
  <c r="B25" i="5"/>
  <c r="B12" i="5"/>
  <c r="B37" i="5" s="1"/>
  <c r="B97" i="3" s="1"/>
  <c r="A12" i="5"/>
  <c r="B11" i="5"/>
  <c r="B36" i="5" s="1"/>
  <c r="B96" i="3" s="1"/>
  <c r="A11" i="5"/>
  <c r="A36" i="5" s="1"/>
  <c r="A62" i="3" s="1"/>
  <c r="B10" i="5"/>
  <c r="A10" i="5"/>
  <c r="B9" i="5"/>
  <c r="A9" i="5"/>
  <c r="B8" i="5"/>
  <c r="B43" i="5" s="1"/>
  <c r="A8" i="5"/>
  <c r="B7" i="5"/>
  <c r="B32" i="5" s="1"/>
  <c r="B92" i="3" s="1"/>
  <c r="A7" i="5"/>
  <c r="A32" i="5" s="1"/>
  <c r="A58" i="3" s="1"/>
  <c r="B6" i="5"/>
  <c r="A6" i="5"/>
  <c r="D158" i="4"/>
  <c r="D157" i="4"/>
  <c r="D156" i="4"/>
  <c r="D155" i="4"/>
  <c r="D154" i="4"/>
  <c r="D153" i="4"/>
  <c r="B122" i="4"/>
  <c r="D112" i="4"/>
  <c r="D111" i="4"/>
  <c r="D110" i="4"/>
  <c r="D109" i="4"/>
  <c r="D108" i="4"/>
  <c r="D107" i="4"/>
  <c r="D85" i="4"/>
  <c r="A85" i="4"/>
  <c r="D84" i="4"/>
  <c r="A84" i="4"/>
  <c r="I83" i="4"/>
  <c r="H83" i="4"/>
  <c r="G83" i="4"/>
  <c r="E83" i="4"/>
  <c r="D83" i="4"/>
  <c r="A83" i="4"/>
  <c r="D82" i="4"/>
  <c r="A82" i="4"/>
  <c r="D81" i="4"/>
  <c r="A81" i="4"/>
  <c r="D80" i="4"/>
  <c r="A80" i="4"/>
  <c r="D79" i="4"/>
  <c r="A79" i="4"/>
  <c r="A71" i="4"/>
  <c r="A70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A53" i="4"/>
  <c r="A40" i="4"/>
  <c r="A39" i="4"/>
  <c r="A38" i="4"/>
  <c r="A37" i="4"/>
  <c r="A36" i="4"/>
  <c r="A35" i="4"/>
  <c r="A34" i="4"/>
  <c r="AD30" i="4"/>
  <c r="E85" i="4" s="1"/>
  <c r="J30" i="4"/>
  <c r="F30" i="4"/>
  <c r="AD29" i="4"/>
  <c r="E84" i="4" s="1"/>
  <c r="J29" i="4"/>
  <c r="F29" i="4"/>
  <c r="B84" i="4" s="1"/>
  <c r="R28" i="4"/>
  <c r="E23" i="10" s="1"/>
  <c r="J28" i="4"/>
  <c r="F28" i="4"/>
  <c r="B83" i="4" s="1"/>
  <c r="AD27" i="4"/>
  <c r="J27" i="4"/>
  <c r="F27" i="4"/>
  <c r="AD26" i="4"/>
  <c r="E81" i="4" s="1"/>
  <c r="J26" i="4"/>
  <c r="F26" i="4"/>
  <c r="B81" i="4" s="1"/>
  <c r="AD25" i="4"/>
  <c r="E80" i="4" s="1"/>
  <c r="J25" i="4"/>
  <c r="Y25" i="4" s="1"/>
  <c r="F25" i="4"/>
  <c r="B80" i="4" s="1"/>
  <c r="AD24" i="4"/>
  <c r="E79" i="4" s="1"/>
  <c r="J24" i="4"/>
  <c r="F24" i="4"/>
  <c r="B18" i="4"/>
  <c r="B12" i="4"/>
  <c r="B10" i="4"/>
  <c r="B9" i="4"/>
  <c r="B7" i="4"/>
  <c r="A31" i="4" s="1"/>
  <c r="F6" i="4"/>
  <c r="B155" i="4" s="1"/>
  <c r="A42" i="4"/>
  <c r="B80" i="3"/>
  <c r="A80" i="3"/>
  <c r="B79" i="3"/>
  <c r="A79" i="3"/>
  <c r="B78" i="3"/>
  <c r="A78" i="3"/>
  <c r="B77" i="3"/>
  <c r="A77" i="3"/>
  <c r="B76" i="3"/>
  <c r="A76" i="3"/>
  <c r="B75" i="3"/>
  <c r="A75" i="3"/>
  <c r="A74" i="3"/>
  <c r="J70" i="3"/>
  <c r="C69" i="3"/>
  <c r="B69" i="3"/>
  <c r="C68" i="3"/>
  <c r="B68" i="3"/>
  <c r="C67" i="3"/>
  <c r="B67" i="3"/>
  <c r="A43" i="3"/>
  <c r="A42" i="3"/>
  <c r="A41" i="3"/>
  <c r="A40" i="3"/>
  <c r="A39" i="3"/>
  <c r="A38" i="3"/>
  <c r="A37" i="3"/>
  <c r="X31" i="3"/>
  <c r="Q31" i="3"/>
  <c r="M31" i="3"/>
  <c r="I31" i="3"/>
  <c r="C31" i="3"/>
  <c r="P31" i="3" s="1"/>
  <c r="X30" i="3"/>
  <c r="X29" i="3"/>
  <c r="X28" i="3"/>
  <c r="X27" i="3"/>
  <c r="X26" i="3"/>
  <c r="X25" i="3"/>
  <c r="B5" i="8"/>
  <c r="B93" i="2"/>
  <c r="A93" i="2"/>
  <c r="B92" i="2"/>
  <c r="A92" i="2"/>
  <c r="B91" i="2"/>
  <c r="A91" i="2"/>
  <c r="B90" i="2"/>
  <c r="A90" i="2"/>
  <c r="B89" i="2"/>
  <c r="A89" i="2"/>
  <c r="B88" i="2"/>
  <c r="A88" i="2"/>
  <c r="B87" i="2"/>
  <c r="A87" i="2"/>
  <c r="L3" i="2"/>
  <c r="J3" i="2"/>
  <c r="H3" i="2"/>
  <c r="F3" i="2"/>
  <c r="D3" i="2"/>
  <c r="B3" i="2"/>
  <c r="C25" i="3" l="1"/>
  <c r="C18" i="8"/>
  <c r="B9" i="8"/>
  <c r="D7" i="10"/>
  <c r="F91" i="2"/>
  <c r="E65" i="9"/>
  <c r="S28" i="4"/>
  <c r="F23" i="10" s="1"/>
  <c r="C36" i="5"/>
  <c r="I92" i="2" s="1"/>
  <c r="D56" i="4"/>
  <c r="A91" i="5"/>
  <c r="A48" i="3"/>
  <c r="G30" i="4"/>
  <c r="A42" i="5"/>
  <c r="A64" i="2" s="1"/>
  <c r="A43" i="4"/>
  <c r="B18" i="5"/>
  <c r="K26" i="4"/>
  <c r="F11" i="7"/>
  <c r="P37" i="5"/>
  <c r="C25" i="10" s="1"/>
  <c r="D65" i="4"/>
  <c r="P35" i="5"/>
  <c r="C23" i="10" s="1"/>
  <c r="M87" i="2"/>
  <c r="P31" i="5"/>
  <c r="C19" i="10" s="1"/>
  <c r="B81" i="3"/>
  <c r="P36" i="5"/>
  <c r="C24" i="10" s="1"/>
  <c r="C28" i="3"/>
  <c r="D176" i="8"/>
  <c r="D177" i="8" s="1"/>
  <c r="C26" i="3"/>
  <c r="D18" i="8"/>
  <c r="K30" i="4"/>
  <c r="Y26" i="4"/>
  <c r="AA26" i="4" s="1"/>
  <c r="M91" i="2"/>
  <c r="B19" i="4"/>
  <c r="D66" i="4"/>
  <c r="D63" i="4"/>
  <c r="P32" i="5"/>
  <c r="C20" i="10" s="1"/>
  <c r="M92" i="2"/>
  <c r="B85" i="4"/>
  <c r="B153" i="4"/>
  <c r="K28" i="4"/>
  <c r="F12" i="7"/>
  <c r="F18" i="8"/>
  <c r="D55" i="4"/>
  <c r="B42" i="5"/>
  <c r="I69" i="3"/>
  <c r="B47" i="5"/>
  <c r="K29" i="4"/>
  <c r="D57" i="4"/>
  <c r="D64" i="4"/>
  <c r="B107" i="4"/>
  <c r="G25" i="4"/>
  <c r="B154" i="4"/>
  <c r="F5" i="4"/>
  <c r="W30" i="4"/>
  <c r="Y30" i="4"/>
  <c r="AB26" i="4"/>
  <c r="AC26" i="4" s="1"/>
  <c r="W25" i="4"/>
  <c r="AB30" i="4"/>
  <c r="AC30" i="4" s="1"/>
  <c r="AE30" i="4" s="1"/>
  <c r="F85" i="4" s="1"/>
  <c r="D67" i="4"/>
  <c r="B157" i="4"/>
  <c r="AB25" i="4"/>
  <c r="AC25" i="4" s="1"/>
  <c r="AE25" i="4" s="1"/>
  <c r="F80" i="4" s="1"/>
  <c r="AE26" i="4"/>
  <c r="AF26" i="4" s="1"/>
  <c r="D68" i="4"/>
  <c r="B109" i="4"/>
  <c r="B158" i="4"/>
  <c r="B17" i="5"/>
  <c r="B110" i="4"/>
  <c r="W29" i="4"/>
  <c r="D58" i="4"/>
  <c r="F83" i="4"/>
  <c r="A52" i="3"/>
  <c r="Y29" i="4"/>
  <c r="AA29" i="4" s="1"/>
  <c r="D59" i="4"/>
  <c r="B111" i="4"/>
  <c r="K25" i="4"/>
  <c r="Y28" i="4"/>
  <c r="K24" i="4"/>
  <c r="D60" i="4"/>
  <c r="B20" i="4"/>
  <c r="G26" i="4"/>
  <c r="W26" i="4"/>
  <c r="W28" i="4"/>
  <c r="W24" i="4"/>
  <c r="D61" i="4"/>
  <c r="G28" i="4"/>
  <c r="D62" i="4"/>
  <c r="B125" i="4"/>
  <c r="B128" i="4" s="1"/>
  <c r="C37" i="5"/>
  <c r="I93" i="2" s="1"/>
  <c r="C34" i="5"/>
  <c r="I90" i="2" s="1"/>
  <c r="C33" i="5"/>
  <c r="I89" i="2" s="1"/>
  <c r="C32" i="5"/>
  <c r="I88" i="2" s="1"/>
  <c r="A102" i="8"/>
  <c r="B7" i="8"/>
  <c r="K30" i="8" s="1"/>
  <c r="K17" i="8"/>
  <c r="J17" i="8"/>
  <c r="F26" i="8"/>
  <c r="B102" i="8"/>
  <c r="D19" i="8"/>
  <c r="L17" i="8"/>
  <c r="AA25" i="4"/>
  <c r="Z25" i="4"/>
  <c r="E82" i="4"/>
  <c r="H176" i="8"/>
  <c r="H177" i="8" s="1"/>
  <c r="H19" i="8"/>
  <c r="H25" i="8"/>
  <c r="P30" i="3" s="1"/>
  <c r="H18" i="8"/>
  <c r="C30" i="3"/>
  <c r="Y27" i="4"/>
  <c r="K27" i="4"/>
  <c r="A34" i="5"/>
  <c r="A44" i="5"/>
  <c r="A66" i="2" s="1"/>
  <c r="B11" i="4"/>
  <c r="B34" i="5"/>
  <c r="B94" i="3" s="1"/>
  <c r="B19" i="5"/>
  <c r="K10" i="6"/>
  <c r="B7" i="6"/>
  <c r="B11" i="6"/>
  <c r="K15" i="6"/>
  <c r="A45" i="5"/>
  <c r="A67" i="2" s="1"/>
  <c r="A35" i="5"/>
  <c r="D13" i="7"/>
  <c r="D11" i="7"/>
  <c r="B45" i="5"/>
  <c r="B35" i="5"/>
  <c r="B95" i="3" s="1"/>
  <c r="B79" i="4"/>
  <c r="K7" i="6"/>
  <c r="B8" i="6"/>
  <c r="B12" i="6"/>
  <c r="D31" i="3"/>
  <c r="B25" i="10" s="1"/>
  <c r="Y24" i="4"/>
  <c r="G29" i="4"/>
  <c r="AB29" i="4"/>
  <c r="AC29" i="4" s="1"/>
  <c r="AE29" i="4" s="1"/>
  <c r="B20" i="5"/>
  <c r="A41" i="5"/>
  <c r="A63" i="2" s="1"/>
  <c r="A31" i="5"/>
  <c r="A57" i="5"/>
  <c r="A84" i="5"/>
  <c r="A95" i="5"/>
  <c r="B41" i="5"/>
  <c r="B31" i="5"/>
  <c r="B91" i="3" s="1"/>
  <c r="P34" i="5"/>
  <c r="C22" i="10" s="1"/>
  <c r="K12" i="6"/>
  <c r="G24" i="4"/>
  <c r="AB24" i="4"/>
  <c r="AC24" i="4" s="1"/>
  <c r="AE24" i="4" s="1"/>
  <c r="F79" i="4" s="1"/>
  <c r="J83" i="4"/>
  <c r="K83" i="4" s="1"/>
  <c r="B44" i="5"/>
  <c r="B13" i="6"/>
  <c r="K8" i="6"/>
  <c r="D12" i="7"/>
  <c r="B15" i="6"/>
  <c r="B10" i="6"/>
  <c r="K14" i="6"/>
  <c r="K11" i="6"/>
  <c r="K6" i="6"/>
  <c r="W27" i="4"/>
  <c r="A37" i="5"/>
  <c r="A47" i="5"/>
  <c r="A69" i="2" s="1"/>
  <c r="B9" i="6"/>
  <c r="B112" i="4"/>
  <c r="A53" i="5"/>
  <c r="A80" i="5"/>
  <c r="C31" i="5"/>
  <c r="C35" i="5"/>
  <c r="B82" i="4"/>
  <c r="P33" i="5"/>
  <c r="C21" i="10" s="1"/>
  <c r="C176" i="8"/>
  <c r="C177" i="8" s="1"/>
  <c r="C19" i="8"/>
  <c r="C25" i="8"/>
  <c r="P25" i="3" s="1"/>
  <c r="B401" i="8"/>
  <c r="A429" i="8" s="1"/>
  <c r="B275" i="8"/>
  <c r="A305" i="8" s="1"/>
  <c r="B108" i="4"/>
  <c r="B15" i="5"/>
  <c r="K9" i="6"/>
  <c r="K13" i="6"/>
  <c r="A46" i="5"/>
  <c r="A68" i="2" s="1"/>
  <c r="B14" i="6"/>
  <c r="E176" i="8"/>
  <c r="E177" i="8" s="1"/>
  <c r="E18" i="8"/>
  <c r="E19" i="8"/>
  <c r="E25" i="8"/>
  <c r="P27" i="3" s="1"/>
  <c r="G27" i="4"/>
  <c r="AB27" i="4"/>
  <c r="AC27" i="4" s="1"/>
  <c r="AE27" i="4" s="1"/>
  <c r="B121" i="4"/>
  <c r="B129" i="4" s="1"/>
  <c r="A33" i="5"/>
  <c r="A43" i="5"/>
  <c r="A65" i="2" s="1"/>
  <c r="B46" i="5"/>
  <c r="F176" i="8"/>
  <c r="F177" i="8" s="1"/>
  <c r="F19" i="8"/>
  <c r="F8" i="4"/>
  <c r="B355" i="8" s="1"/>
  <c r="B358" i="8" s="1"/>
  <c r="B156" i="4"/>
  <c r="B33" i="5"/>
  <c r="B93" i="3" s="1"/>
  <c r="B16" i="5"/>
  <c r="B6" i="6"/>
  <c r="G176" i="8"/>
  <c r="G177" i="8" s="1"/>
  <c r="G18" i="8"/>
  <c r="G19" i="8"/>
  <c r="G25" i="8"/>
  <c r="P29" i="3" s="1"/>
  <c r="D25" i="8"/>
  <c r="P26" i="3" s="1"/>
  <c r="N93" i="2" l="1"/>
  <c r="N92" i="2"/>
  <c r="G91" i="2"/>
  <c r="N91" i="2"/>
  <c r="N90" i="2"/>
  <c r="N89" i="2"/>
  <c r="N88" i="2"/>
  <c r="N87" i="2"/>
  <c r="D68" i="3"/>
  <c r="E12" i="7"/>
  <c r="D67" i="3"/>
  <c r="E11" i="7"/>
  <c r="D69" i="3"/>
  <c r="E13" i="7"/>
  <c r="I81" i="4"/>
  <c r="AG26" i="4"/>
  <c r="D29" i="8"/>
  <c r="F20" i="8"/>
  <c r="F28" i="8" s="1"/>
  <c r="E20" i="8"/>
  <c r="H28" i="4"/>
  <c r="E29" i="8"/>
  <c r="X30" i="4"/>
  <c r="H30" i="4"/>
  <c r="D20" i="8"/>
  <c r="C29" i="8"/>
  <c r="A426" i="8"/>
  <c r="A425" i="8"/>
  <c r="A430" i="8"/>
  <c r="AF30" i="4"/>
  <c r="D26" i="4"/>
  <c r="R26" i="4" s="1"/>
  <c r="E21" i="10" s="1"/>
  <c r="A431" i="8"/>
  <c r="H25" i="4"/>
  <c r="A422" i="8"/>
  <c r="A423" i="8"/>
  <c r="A424" i="8"/>
  <c r="AF24" i="4"/>
  <c r="H26" i="4"/>
  <c r="F7" i="4"/>
  <c r="B320" i="8" s="1"/>
  <c r="B339" i="8" s="1"/>
  <c r="B232" i="8"/>
  <c r="A265" i="8" s="1"/>
  <c r="AF25" i="4"/>
  <c r="A404" i="8"/>
  <c r="A406" i="8"/>
  <c r="A287" i="8"/>
  <c r="H287" i="8" s="1"/>
  <c r="X25" i="4"/>
  <c r="Z29" i="4"/>
  <c r="A402" i="8"/>
  <c r="A403" i="8"/>
  <c r="A296" i="8"/>
  <c r="E296" i="8" s="1"/>
  <c r="A405" i="8"/>
  <c r="A407" i="8"/>
  <c r="A418" i="8"/>
  <c r="A420" i="8"/>
  <c r="C20" i="8"/>
  <c r="C22" i="7"/>
  <c r="I67" i="3"/>
  <c r="C23" i="7"/>
  <c r="I68" i="3"/>
  <c r="A421" i="8"/>
  <c r="D26" i="8"/>
  <c r="D56" i="8" s="1"/>
  <c r="F56" i="8"/>
  <c r="A297" i="8"/>
  <c r="I297" i="8" s="1"/>
  <c r="F29" i="8"/>
  <c r="L30" i="8"/>
  <c r="G29" i="8"/>
  <c r="J29" i="8"/>
  <c r="A279" i="8"/>
  <c r="M279" i="8" s="1"/>
  <c r="A301" i="8"/>
  <c r="Q301" i="8" s="1"/>
  <c r="K29" i="8"/>
  <c r="E30" i="8"/>
  <c r="L29" i="8"/>
  <c r="A409" i="8"/>
  <c r="A413" i="8"/>
  <c r="G81" i="4"/>
  <c r="C30" i="8"/>
  <c r="H20" i="8"/>
  <c r="A282" i="8"/>
  <c r="D282" i="8" s="1"/>
  <c r="A414" i="8"/>
  <c r="F30" i="8"/>
  <c r="H29" i="8"/>
  <c r="A308" i="8"/>
  <c r="E308" i="8" s="1"/>
  <c r="A415" i="8"/>
  <c r="A309" i="8"/>
  <c r="P309" i="8" s="1"/>
  <c r="A417" i="8"/>
  <c r="G20" i="8"/>
  <c r="A285" i="8"/>
  <c r="G285" i="8" s="1"/>
  <c r="G30" i="8"/>
  <c r="A289" i="8"/>
  <c r="P289" i="8" s="1"/>
  <c r="A419" i="8"/>
  <c r="Z26" i="4"/>
  <c r="H30" i="8"/>
  <c r="AA28" i="4"/>
  <c r="Z28" i="4"/>
  <c r="B361" i="8"/>
  <c r="X28" i="4"/>
  <c r="AA30" i="4"/>
  <c r="Z30" i="4"/>
  <c r="A410" i="8"/>
  <c r="A427" i="8"/>
  <c r="A411" i="8"/>
  <c r="A428" i="8"/>
  <c r="F81" i="4"/>
  <c r="X26" i="4"/>
  <c r="B377" i="8"/>
  <c r="A412" i="8"/>
  <c r="G305" i="8"/>
  <c r="U305" i="8"/>
  <c r="T305" i="8"/>
  <c r="S305" i="8"/>
  <c r="F305" i="8"/>
  <c r="E305" i="8"/>
  <c r="D305" i="8"/>
  <c r="C305" i="8"/>
  <c r="L305" i="8"/>
  <c r="K305" i="8"/>
  <c r="J305" i="8"/>
  <c r="I305" i="8"/>
  <c r="H305" i="8"/>
  <c r="W305" i="8"/>
  <c r="V305" i="8"/>
  <c r="R305" i="8"/>
  <c r="Q305" i="8"/>
  <c r="P305" i="8"/>
  <c r="O305" i="8"/>
  <c r="N305" i="8"/>
  <c r="M305" i="8"/>
  <c r="F82" i="4"/>
  <c r="AF27" i="4"/>
  <c r="AG27" i="4" s="1"/>
  <c r="D59" i="8"/>
  <c r="D60" i="8" s="1"/>
  <c r="D26" i="3"/>
  <c r="B20" i="10" s="1"/>
  <c r="E59" i="8"/>
  <c r="E60" i="8" s="1"/>
  <c r="D27" i="3"/>
  <c r="B21" i="10" s="1"/>
  <c r="A284" i="8"/>
  <c r="B378" i="8"/>
  <c r="B371" i="8"/>
  <c r="A55" i="5"/>
  <c r="A50" i="3"/>
  <c r="A93" i="5"/>
  <c r="A60" i="3"/>
  <c r="A82" i="5"/>
  <c r="A137" i="8"/>
  <c r="A127" i="8"/>
  <c r="A129" i="8"/>
  <c r="A125" i="8"/>
  <c r="A140" i="8"/>
  <c r="A138" i="8"/>
  <c r="A136" i="8"/>
  <c r="A134" i="8"/>
  <c r="A113" i="8"/>
  <c r="A109" i="8"/>
  <c r="A126" i="8"/>
  <c r="A107" i="8"/>
  <c r="A105" i="8"/>
  <c r="A115" i="8"/>
  <c r="A117" i="8"/>
  <c r="A133" i="8"/>
  <c r="A128" i="8"/>
  <c r="AQ102" i="8"/>
  <c r="A135" i="8"/>
  <c r="A123" i="8"/>
  <c r="A103" i="8"/>
  <c r="T102" i="8"/>
  <c r="AT102" i="8"/>
  <c r="A110" i="8"/>
  <c r="AS102" i="8"/>
  <c r="A132" i="8"/>
  <c r="A121" i="8"/>
  <c r="A118" i="8"/>
  <c r="AR102" i="8"/>
  <c r="A139" i="8"/>
  <c r="A108" i="8"/>
  <c r="AP102" i="8"/>
  <c r="A112" i="8"/>
  <c r="AO102" i="8"/>
  <c r="A119" i="8"/>
  <c r="A111" i="8"/>
  <c r="A106" i="8"/>
  <c r="A141" i="8"/>
  <c r="A122" i="8"/>
  <c r="A131" i="8"/>
  <c r="A116" i="8"/>
  <c r="A120" i="8"/>
  <c r="A114" i="8"/>
  <c r="A130" i="8"/>
  <c r="A104" i="8"/>
  <c r="A124" i="8"/>
  <c r="AA24" i="4"/>
  <c r="Z24" i="4"/>
  <c r="A94" i="5"/>
  <c r="A56" i="5"/>
  <c r="A83" i="5"/>
  <c r="A61" i="3"/>
  <c r="A51" i="3"/>
  <c r="B365" i="8"/>
  <c r="B385" i="8"/>
  <c r="B96" i="5"/>
  <c r="H96" i="5"/>
  <c r="F96" i="5"/>
  <c r="C93" i="2"/>
  <c r="D96" i="5"/>
  <c r="K80" i="3"/>
  <c r="L93" i="2"/>
  <c r="J80" i="3"/>
  <c r="A294" i="8"/>
  <c r="A314" i="8"/>
  <c r="B373" i="8"/>
  <c r="F12" i="6"/>
  <c r="C12" i="6"/>
  <c r="F8" i="6"/>
  <c r="C8" i="6"/>
  <c r="F13" i="6"/>
  <c r="C13" i="6"/>
  <c r="A280" i="8"/>
  <c r="F59" i="8"/>
  <c r="F60" i="8" s="1"/>
  <c r="D28" i="3"/>
  <c r="B22" i="10" s="1"/>
  <c r="B368" i="8"/>
  <c r="A307" i="8"/>
  <c r="A278" i="8"/>
  <c r="A302" i="8"/>
  <c r="F9" i="6"/>
  <c r="C9" i="6"/>
  <c r="C11" i="6"/>
  <c r="F11" i="6"/>
  <c r="C26" i="8"/>
  <c r="H29" i="4"/>
  <c r="X29" i="4"/>
  <c r="C14" i="6"/>
  <c r="F14" i="6"/>
  <c r="B362" i="8"/>
  <c r="B374" i="8"/>
  <c r="F84" i="4"/>
  <c r="AF29" i="4"/>
  <c r="AG29" i="4" s="1"/>
  <c r="AA27" i="4"/>
  <c r="Z27" i="4"/>
  <c r="H59" i="8"/>
  <c r="H60" i="8" s="1"/>
  <c r="D30" i="3"/>
  <c r="B24" i="10" s="1"/>
  <c r="B367" i="8"/>
  <c r="B382" i="8"/>
  <c r="B363" i="8"/>
  <c r="A281" i="8"/>
  <c r="I91" i="2"/>
  <c r="J176" i="8"/>
  <c r="J177" i="8" s="1"/>
  <c r="J25" i="8"/>
  <c r="J26" i="8" s="1"/>
  <c r="J60" i="8"/>
  <c r="J61" i="8" s="1"/>
  <c r="J18" i="8"/>
  <c r="J20" i="8" s="1"/>
  <c r="H26" i="8"/>
  <c r="X102" i="8" s="1"/>
  <c r="B356" i="8"/>
  <c r="F7" i="6"/>
  <c r="C7" i="6"/>
  <c r="A304" i="8"/>
  <c r="H24" i="4"/>
  <c r="X24" i="4"/>
  <c r="A52" i="5"/>
  <c r="A79" i="5"/>
  <c r="A90" i="5"/>
  <c r="A57" i="3"/>
  <c r="A47" i="3"/>
  <c r="B370" i="8"/>
  <c r="B383" i="8"/>
  <c r="A286" i="8"/>
  <c r="B375" i="8"/>
  <c r="I87" i="2"/>
  <c r="A85" i="5"/>
  <c r="A53" i="3"/>
  <c r="A96" i="5"/>
  <c r="A58" i="5"/>
  <c r="A63" i="3"/>
  <c r="L31" i="3"/>
  <c r="K176" i="8"/>
  <c r="K177" i="8" s="1"/>
  <c r="K25" i="8"/>
  <c r="K26" i="8" s="1"/>
  <c r="K18" i="8"/>
  <c r="K20" i="8" s="1"/>
  <c r="K60" i="8"/>
  <c r="K61" i="8" s="1"/>
  <c r="C21" i="8"/>
  <c r="B151" i="8"/>
  <c r="H21" i="8"/>
  <c r="G21" i="8"/>
  <c r="F21" i="8"/>
  <c r="E21" i="8"/>
  <c r="D21" i="8"/>
  <c r="B379" i="8"/>
  <c r="B380" i="8"/>
  <c r="A276" i="8"/>
  <c r="A298" i="8"/>
  <c r="B381" i="8"/>
  <c r="B357" i="8"/>
  <c r="A306" i="8"/>
  <c r="A313" i="8"/>
  <c r="A291" i="8"/>
  <c r="B372" i="8"/>
  <c r="B359" i="8"/>
  <c r="B364" i="8"/>
  <c r="A81" i="5"/>
  <c r="A49" i="3"/>
  <c r="A54" i="5"/>
  <c r="A92" i="5"/>
  <c r="A59" i="3"/>
  <c r="A310" i="8"/>
  <c r="A292" i="8"/>
  <c r="B384" i="8"/>
  <c r="L176" i="8"/>
  <c r="L177" i="8" s="1"/>
  <c r="L60" i="8"/>
  <c r="L61" i="8" s="1"/>
  <c r="L25" i="8"/>
  <c r="L26" i="8" s="1"/>
  <c r="L18" i="8"/>
  <c r="L20" i="8" s="1"/>
  <c r="E26" i="8"/>
  <c r="J30" i="8"/>
  <c r="A290" i="8"/>
  <c r="A293" i="8"/>
  <c r="B369" i="8"/>
  <c r="A277" i="8"/>
  <c r="B138" i="4"/>
  <c r="B139" i="4"/>
  <c r="B137" i="4"/>
  <c r="B135" i="4"/>
  <c r="B131" i="4"/>
  <c r="B140" i="4"/>
  <c r="B130" i="4"/>
  <c r="A311" i="8"/>
  <c r="B376" i="8"/>
  <c r="A315" i="8"/>
  <c r="A295" i="8"/>
  <c r="A299" i="8"/>
  <c r="A283" i="8"/>
  <c r="B360" i="8"/>
  <c r="B366" i="8"/>
  <c r="D30" i="8"/>
  <c r="A312" i="8"/>
  <c r="A303" i="8"/>
  <c r="G59" i="8"/>
  <c r="G60" i="8" s="1"/>
  <c r="D29" i="3"/>
  <c r="B23" i="10" s="1"/>
  <c r="C10" i="6"/>
  <c r="F10" i="6"/>
  <c r="C6" i="6"/>
  <c r="F6" i="6"/>
  <c r="H27" i="4"/>
  <c r="X27" i="4"/>
  <c r="A288" i="8"/>
  <c r="A300" i="8"/>
  <c r="A408" i="8"/>
  <c r="A416" i="8"/>
  <c r="C59" i="8"/>
  <c r="C60" i="8" s="1"/>
  <c r="D25" i="3"/>
  <c r="B19" i="10" s="1"/>
  <c r="C15" i="6"/>
  <c r="F15" i="6"/>
  <c r="G26" i="8"/>
  <c r="N102" i="8" l="1"/>
  <c r="C56" i="8"/>
  <c r="F89" i="2"/>
  <c r="K75" i="3"/>
  <c r="L88" i="2"/>
  <c r="J75" i="3"/>
  <c r="C297" i="8"/>
  <c r="T308" i="8"/>
  <c r="I308" i="8"/>
  <c r="L308" i="8"/>
  <c r="M308" i="8"/>
  <c r="M287" i="8"/>
  <c r="F27" i="8"/>
  <c r="A252" i="8"/>
  <c r="P252" i="8" s="1"/>
  <c r="B350" i="8"/>
  <c r="B321" i="8"/>
  <c r="B343" i="8"/>
  <c r="B329" i="8"/>
  <c r="N309" i="8"/>
  <c r="I287" i="8"/>
  <c r="J287" i="8"/>
  <c r="K287" i="8"/>
  <c r="S309" i="8"/>
  <c r="A245" i="8"/>
  <c r="O245" i="8" s="1"/>
  <c r="D25" i="4"/>
  <c r="R25" i="4" s="1"/>
  <c r="E20" i="10" s="1"/>
  <c r="AG25" i="4"/>
  <c r="H84" i="4"/>
  <c r="E29" i="4"/>
  <c r="S29" i="4" s="1"/>
  <c r="F24" i="10" s="1"/>
  <c r="J84" i="4"/>
  <c r="I79" i="4"/>
  <c r="AG24" i="4"/>
  <c r="E26" i="4"/>
  <c r="S26" i="4" s="1"/>
  <c r="F21" i="10" s="1"/>
  <c r="H81" i="4"/>
  <c r="J81" i="4"/>
  <c r="K81" i="4" s="1"/>
  <c r="B24" i="7"/>
  <c r="H69" i="3"/>
  <c r="B22" i="7"/>
  <c r="H67" i="3"/>
  <c r="J308" i="8"/>
  <c r="B345" i="8"/>
  <c r="K308" i="8"/>
  <c r="I85" i="4"/>
  <c r="AG30" i="4"/>
  <c r="H68" i="3"/>
  <c r="B23" i="7"/>
  <c r="O297" i="8"/>
  <c r="E27" i="4"/>
  <c r="S27" i="4" s="1"/>
  <c r="F22" i="10" s="1"/>
  <c r="J82" i="4"/>
  <c r="H82" i="4"/>
  <c r="B328" i="8"/>
  <c r="B344" i="8"/>
  <c r="R287" i="8"/>
  <c r="N287" i="8"/>
  <c r="F308" i="8"/>
  <c r="D287" i="8"/>
  <c r="N308" i="8"/>
  <c r="M296" i="8"/>
  <c r="S308" i="8"/>
  <c r="U309" i="8"/>
  <c r="G85" i="4"/>
  <c r="D30" i="4"/>
  <c r="R30" i="4" s="1"/>
  <c r="E25" i="10" s="1"/>
  <c r="K301" i="8"/>
  <c r="R301" i="8"/>
  <c r="D289" i="8"/>
  <c r="V309" i="8"/>
  <c r="S301" i="8"/>
  <c r="S289" i="8"/>
  <c r="K309" i="8"/>
  <c r="E301" i="8"/>
  <c r="V301" i="8"/>
  <c r="J301" i="8"/>
  <c r="L301" i="8"/>
  <c r="T301" i="8"/>
  <c r="U301" i="8"/>
  <c r="N301" i="8"/>
  <c r="C285" i="8"/>
  <c r="P301" i="8"/>
  <c r="D265" i="8"/>
  <c r="A244" i="8"/>
  <c r="P244" i="8" s="1"/>
  <c r="B326" i="8"/>
  <c r="R265" i="8"/>
  <c r="S265" i="8"/>
  <c r="B348" i="8"/>
  <c r="J289" i="8"/>
  <c r="T265" i="8"/>
  <c r="H308" i="8"/>
  <c r="B325" i="8"/>
  <c r="N289" i="8"/>
  <c r="A239" i="8"/>
  <c r="S239" i="8" s="1"/>
  <c r="Q265" i="8"/>
  <c r="U265" i="8"/>
  <c r="W309" i="8"/>
  <c r="N265" i="8"/>
  <c r="B334" i="8"/>
  <c r="C309" i="8"/>
  <c r="D309" i="8"/>
  <c r="P308" i="8"/>
  <c r="E309" i="8"/>
  <c r="F309" i="8"/>
  <c r="A241" i="8"/>
  <c r="Q241" i="8" s="1"/>
  <c r="P265" i="8"/>
  <c r="G80" i="4"/>
  <c r="L289" i="8"/>
  <c r="G309" i="8"/>
  <c r="B338" i="8"/>
  <c r="O282" i="8"/>
  <c r="B327" i="8"/>
  <c r="K289" i="8"/>
  <c r="B346" i="8"/>
  <c r="L287" i="8"/>
  <c r="N297" i="8"/>
  <c r="Q289" i="8"/>
  <c r="H309" i="8"/>
  <c r="A243" i="8"/>
  <c r="V243" i="8" s="1"/>
  <c r="K265" i="8"/>
  <c r="C289" i="8"/>
  <c r="I309" i="8"/>
  <c r="A249" i="8"/>
  <c r="G249" i="8" s="1"/>
  <c r="V265" i="8"/>
  <c r="B337" i="8"/>
  <c r="F289" i="8"/>
  <c r="C265" i="8"/>
  <c r="E287" i="8"/>
  <c r="H301" i="8"/>
  <c r="H289" i="8"/>
  <c r="O309" i="8"/>
  <c r="A250" i="8"/>
  <c r="K250" i="8" s="1"/>
  <c r="W265" i="8"/>
  <c r="G301" i="8"/>
  <c r="B342" i="8"/>
  <c r="G289" i="8"/>
  <c r="R309" i="8"/>
  <c r="E265" i="8"/>
  <c r="B349" i="8"/>
  <c r="I301" i="8"/>
  <c r="I289" i="8"/>
  <c r="Q309" i="8"/>
  <c r="A235" i="8"/>
  <c r="G235" i="8" s="1"/>
  <c r="I80" i="4"/>
  <c r="A240" i="8"/>
  <c r="F240" i="8" s="1"/>
  <c r="A247" i="8"/>
  <c r="O247" i="8" s="1"/>
  <c r="M301" i="8"/>
  <c r="W301" i="8"/>
  <c r="C301" i="8"/>
  <c r="D301" i="8"/>
  <c r="D24" i="4"/>
  <c r="R24" i="4" s="1"/>
  <c r="E19" i="10" s="1"/>
  <c r="O301" i="8"/>
  <c r="G79" i="4"/>
  <c r="F265" i="8"/>
  <c r="N279" i="8"/>
  <c r="F301" i="8"/>
  <c r="E289" i="8"/>
  <c r="A264" i="8"/>
  <c r="P264" i="8" s="1"/>
  <c r="P282" i="8"/>
  <c r="A251" i="8"/>
  <c r="Q251" i="8" s="1"/>
  <c r="B347" i="8"/>
  <c r="L265" i="8"/>
  <c r="E282" i="8"/>
  <c r="F282" i="8"/>
  <c r="M289" i="8"/>
  <c r="T309" i="8"/>
  <c r="A236" i="8"/>
  <c r="T236" i="8" s="1"/>
  <c r="A271" i="8"/>
  <c r="F271" i="8" s="1"/>
  <c r="A269" i="8"/>
  <c r="C269" i="8" s="1"/>
  <c r="A233" i="8"/>
  <c r="R233" i="8" s="1"/>
  <c r="T282" i="8"/>
  <c r="D28" i="8"/>
  <c r="H282" i="8"/>
  <c r="O289" i="8"/>
  <c r="J309" i="8"/>
  <c r="A262" i="8"/>
  <c r="F158" i="4"/>
  <c r="G282" i="8"/>
  <c r="A257" i="8"/>
  <c r="N257" i="8" s="1"/>
  <c r="A238" i="8"/>
  <c r="C238" i="8" s="1"/>
  <c r="A268" i="8"/>
  <c r="P268" i="8" s="1"/>
  <c r="Q282" i="8"/>
  <c r="B324" i="8"/>
  <c r="B335" i="8"/>
  <c r="L309" i="8"/>
  <c r="A267" i="8"/>
  <c r="I267" i="8" s="1"/>
  <c r="I282" i="8"/>
  <c r="W282" i="8"/>
  <c r="B331" i="8"/>
  <c r="B340" i="8"/>
  <c r="M309" i="8"/>
  <c r="A234" i="8"/>
  <c r="J234" i="8" s="1"/>
  <c r="L297" i="8"/>
  <c r="M297" i="8"/>
  <c r="Q297" i="8"/>
  <c r="R297" i="8"/>
  <c r="J21" i="8"/>
  <c r="J22" i="8" s="1"/>
  <c r="J23" i="8" s="1"/>
  <c r="S297" i="8"/>
  <c r="P297" i="8"/>
  <c r="U297" i="8"/>
  <c r="V297" i="8"/>
  <c r="J282" i="8"/>
  <c r="J297" i="8"/>
  <c r="B323" i="8"/>
  <c r="B330" i="8"/>
  <c r="I265" i="8"/>
  <c r="F297" i="8"/>
  <c r="T297" i="8"/>
  <c r="O308" i="8"/>
  <c r="R282" i="8"/>
  <c r="G297" i="8"/>
  <c r="B322" i="8"/>
  <c r="O265" i="8"/>
  <c r="S282" i="8"/>
  <c r="H297" i="8"/>
  <c r="B341" i="8"/>
  <c r="B333" i="8"/>
  <c r="B332" i="8"/>
  <c r="V308" i="8"/>
  <c r="K282" i="8"/>
  <c r="W297" i="8"/>
  <c r="A255" i="8"/>
  <c r="E255" i="8" s="1"/>
  <c r="W308" i="8"/>
  <c r="L282" i="8"/>
  <c r="G308" i="8"/>
  <c r="N282" i="8"/>
  <c r="B336" i="8"/>
  <c r="A261" i="8"/>
  <c r="N261" i="8" s="1"/>
  <c r="O279" i="8"/>
  <c r="J296" i="8"/>
  <c r="P279" i="8"/>
  <c r="O296" i="8"/>
  <c r="R279" i="8"/>
  <c r="T279" i="8"/>
  <c r="P102" i="8"/>
  <c r="U279" i="8"/>
  <c r="D27" i="8"/>
  <c r="G279" i="8"/>
  <c r="Q279" i="8"/>
  <c r="T296" i="8"/>
  <c r="P287" i="8"/>
  <c r="I279" i="8"/>
  <c r="V296" i="8"/>
  <c r="Q287" i="8"/>
  <c r="W279" i="8"/>
  <c r="L296" i="8"/>
  <c r="H279" i="8"/>
  <c r="C279" i="8"/>
  <c r="F296" i="8"/>
  <c r="P296" i="8"/>
  <c r="C287" i="8"/>
  <c r="C296" i="8"/>
  <c r="G287" i="8"/>
  <c r="W287" i="8"/>
  <c r="D279" i="8"/>
  <c r="R289" i="8"/>
  <c r="V279" i="8"/>
  <c r="R296" i="8"/>
  <c r="O287" i="8"/>
  <c r="A237" i="8"/>
  <c r="G237" i="8" s="1"/>
  <c r="A266" i="8"/>
  <c r="D266" i="8" s="1"/>
  <c r="A254" i="8"/>
  <c r="W254" i="8" s="1"/>
  <c r="Q296" i="8"/>
  <c r="F279" i="8"/>
  <c r="U296" i="8"/>
  <c r="G265" i="8"/>
  <c r="U287" i="8"/>
  <c r="J279" i="8"/>
  <c r="C308" i="8"/>
  <c r="U308" i="8"/>
  <c r="V282" i="8"/>
  <c r="D297" i="8"/>
  <c r="U289" i="8"/>
  <c r="A260" i="8"/>
  <c r="F260" i="8" s="1"/>
  <c r="A263" i="8"/>
  <c r="S263" i="8" s="1"/>
  <c r="A253" i="8"/>
  <c r="U253" i="8" s="1"/>
  <c r="A259" i="8"/>
  <c r="J259" i="8" s="1"/>
  <c r="N296" i="8"/>
  <c r="F287" i="8"/>
  <c r="D296" i="8"/>
  <c r="K279" i="8"/>
  <c r="S279" i="8"/>
  <c r="Q308" i="8"/>
  <c r="T287" i="8"/>
  <c r="E279" i="8"/>
  <c r="R308" i="8"/>
  <c r="U282" i="8"/>
  <c r="T289" i="8"/>
  <c r="A246" i="8"/>
  <c r="R246" i="8" s="1"/>
  <c r="I296" i="8"/>
  <c r="H265" i="8"/>
  <c r="V287" i="8"/>
  <c r="L279" i="8"/>
  <c r="D308" i="8"/>
  <c r="C282" i="8"/>
  <c r="M282" i="8"/>
  <c r="E297" i="8"/>
  <c r="V289" i="8"/>
  <c r="A270" i="8"/>
  <c r="J270" i="8" s="1"/>
  <c r="A248" i="8"/>
  <c r="J248" i="8" s="1"/>
  <c r="A258" i="8"/>
  <c r="J258" i="8" s="1"/>
  <c r="S296" i="8"/>
  <c r="W296" i="8"/>
  <c r="S287" i="8"/>
  <c r="G296" i="8"/>
  <c r="K297" i="8"/>
  <c r="H296" i="8"/>
  <c r="A242" i="8"/>
  <c r="U242" i="8" s="1"/>
  <c r="K296" i="8"/>
  <c r="W289" i="8"/>
  <c r="A256" i="8"/>
  <c r="M256" i="8" s="1"/>
  <c r="A272" i="8"/>
  <c r="J272" i="8" s="1"/>
  <c r="J285" i="8"/>
  <c r="L285" i="8"/>
  <c r="M285" i="8"/>
  <c r="F285" i="8"/>
  <c r="AB102" i="8"/>
  <c r="H285" i="8"/>
  <c r="E59" i="4"/>
  <c r="H59" i="4" s="1"/>
  <c r="K59" i="4" s="1"/>
  <c r="I285" i="8"/>
  <c r="N285" i="8"/>
  <c r="O285" i="8"/>
  <c r="AE102" i="8"/>
  <c r="P285" i="8"/>
  <c r="F154" i="4"/>
  <c r="T285" i="8"/>
  <c r="D285" i="8"/>
  <c r="U285" i="8"/>
  <c r="V285" i="8"/>
  <c r="W285" i="8"/>
  <c r="Q285" i="8"/>
  <c r="R285" i="8"/>
  <c r="E110" i="4"/>
  <c r="E285" i="8"/>
  <c r="S285" i="8"/>
  <c r="K285" i="8"/>
  <c r="F157" i="4"/>
  <c r="F110" i="4"/>
  <c r="E64" i="4"/>
  <c r="H64" i="4" s="1"/>
  <c r="K64" i="4" s="1"/>
  <c r="F153" i="4"/>
  <c r="E68" i="4"/>
  <c r="H68" i="4" s="1"/>
  <c r="K68" i="4" s="1"/>
  <c r="G111" i="4"/>
  <c r="F61" i="4"/>
  <c r="I61" i="4" s="1"/>
  <c r="L61" i="4" s="1"/>
  <c r="G154" i="4"/>
  <c r="E112" i="4"/>
  <c r="F108" i="4"/>
  <c r="F59" i="4"/>
  <c r="I59" i="4" s="1"/>
  <c r="L59" i="4" s="1"/>
  <c r="N59" i="4" s="1"/>
  <c r="F111" i="4"/>
  <c r="F66" i="4"/>
  <c r="I66" i="4" s="1"/>
  <c r="L66" i="4" s="1"/>
  <c r="E153" i="4"/>
  <c r="E155" i="4"/>
  <c r="G65" i="4"/>
  <c r="J65" i="4" s="1"/>
  <c r="M65" i="4" s="1"/>
  <c r="G109" i="4"/>
  <c r="L91" i="2"/>
  <c r="C91" i="2"/>
  <c r="K78" i="3"/>
  <c r="J78" i="3"/>
  <c r="H94" i="5"/>
  <c r="F94" i="5"/>
  <c r="D94" i="5"/>
  <c r="B94" i="5"/>
  <c r="E28" i="8"/>
  <c r="E27" i="8"/>
  <c r="E56" i="8"/>
  <c r="E61" i="4"/>
  <c r="H61" i="4" s="1"/>
  <c r="K61" i="4" s="1"/>
  <c r="E63" i="4"/>
  <c r="H63" i="4" s="1"/>
  <c r="K63" i="4" s="1"/>
  <c r="AB126" i="8"/>
  <c r="AA126" i="8"/>
  <c r="Z126" i="8"/>
  <c r="AT126" i="8"/>
  <c r="X126" i="8"/>
  <c r="AS126" i="8"/>
  <c r="AR126" i="8"/>
  <c r="V126" i="8"/>
  <c r="AQ126" i="8"/>
  <c r="AP126" i="8"/>
  <c r="T126" i="8"/>
  <c r="AO126" i="8"/>
  <c r="P126" i="8"/>
  <c r="N126" i="8"/>
  <c r="AD126" i="8"/>
  <c r="AC126" i="8"/>
  <c r="R126" i="8"/>
  <c r="AE126" i="8"/>
  <c r="E156" i="4"/>
  <c r="L29" i="3"/>
  <c r="G61" i="8"/>
  <c r="W136" i="8" s="1"/>
  <c r="D140" i="4"/>
  <c r="F140" i="4" s="1"/>
  <c r="E140" i="4"/>
  <c r="I304" i="8"/>
  <c r="V304" i="8"/>
  <c r="U304" i="8"/>
  <c r="T304" i="8"/>
  <c r="D304" i="8"/>
  <c r="C304" i="8"/>
  <c r="W304" i="8"/>
  <c r="S304" i="8"/>
  <c r="R304" i="8"/>
  <c r="Q304" i="8"/>
  <c r="P304" i="8"/>
  <c r="F304" i="8"/>
  <c r="E304" i="8"/>
  <c r="O304" i="8"/>
  <c r="N304" i="8"/>
  <c r="M304" i="8"/>
  <c r="K304" i="8"/>
  <c r="G304" i="8"/>
  <c r="L304" i="8"/>
  <c r="J304" i="8"/>
  <c r="H304" i="8"/>
  <c r="P106" i="8"/>
  <c r="N106" i="8"/>
  <c r="Z106" i="8"/>
  <c r="AT106" i="8"/>
  <c r="X106" i="8"/>
  <c r="AS106" i="8"/>
  <c r="AO106" i="8"/>
  <c r="AE106" i="8"/>
  <c r="AD106" i="8"/>
  <c r="AC106" i="8"/>
  <c r="AB106" i="8"/>
  <c r="AA106" i="8"/>
  <c r="V106" i="8"/>
  <c r="T106" i="8"/>
  <c r="R106" i="8"/>
  <c r="AQ106" i="8"/>
  <c r="AP106" i="8"/>
  <c r="AR106" i="8"/>
  <c r="T110" i="8"/>
  <c r="R110" i="8"/>
  <c r="AT110" i="8"/>
  <c r="X110" i="8"/>
  <c r="AS110" i="8"/>
  <c r="AR110" i="8"/>
  <c r="V110" i="8"/>
  <c r="AQ110" i="8"/>
  <c r="AP110" i="8"/>
  <c r="P110" i="8"/>
  <c r="Z110" i="8"/>
  <c r="N110" i="8"/>
  <c r="AO110" i="8"/>
  <c r="AE110" i="8"/>
  <c r="AD110" i="8"/>
  <c r="AC110" i="8"/>
  <c r="AB110" i="8"/>
  <c r="AA110" i="8"/>
  <c r="F107" i="4"/>
  <c r="K303" i="8"/>
  <c r="W303" i="8"/>
  <c r="V303" i="8"/>
  <c r="U303" i="8"/>
  <c r="T303" i="8"/>
  <c r="S303" i="8"/>
  <c r="R303" i="8"/>
  <c r="Q303" i="8"/>
  <c r="N303" i="8"/>
  <c r="M303" i="8"/>
  <c r="L303" i="8"/>
  <c r="J303" i="8"/>
  <c r="I303" i="8"/>
  <c r="H303" i="8"/>
  <c r="G303" i="8"/>
  <c r="F303" i="8"/>
  <c r="P303" i="8"/>
  <c r="O303" i="8"/>
  <c r="E303" i="8"/>
  <c r="D303" i="8"/>
  <c r="C303" i="8"/>
  <c r="L28" i="8"/>
  <c r="L27" i="8"/>
  <c r="L56" i="8"/>
  <c r="K62" i="8"/>
  <c r="K63" i="8"/>
  <c r="K89" i="8"/>
  <c r="P124" i="8"/>
  <c r="AB124" i="8"/>
  <c r="AA124" i="8"/>
  <c r="Z124" i="8"/>
  <c r="AT124" i="8"/>
  <c r="X124" i="8"/>
  <c r="AS124" i="8"/>
  <c r="AR124" i="8"/>
  <c r="V124" i="8"/>
  <c r="AQ124" i="8"/>
  <c r="R124" i="8"/>
  <c r="AO124" i="8"/>
  <c r="AE124" i="8"/>
  <c r="T124" i="8"/>
  <c r="AP124" i="8"/>
  <c r="AD124" i="8"/>
  <c r="AC124" i="8"/>
  <c r="N124" i="8"/>
  <c r="N109" i="8"/>
  <c r="AE109" i="8"/>
  <c r="AD109" i="8"/>
  <c r="AB109" i="8"/>
  <c r="AA109" i="8"/>
  <c r="V109" i="8"/>
  <c r="T109" i="8"/>
  <c r="R109" i="8"/>
  <c r="AT109" i="8"/>
  <c r="AS109" i="8"/>
  <c r="P109" i="8"/>
  <c r="AR109" i="8"/>
  <c r="AQ109" i="8"/>
  <c r="AP109" i="8"/>
  <c r="AC109" i="8"/>
  <c r="Z109" i="8"/>
  <c r="AO109" i="8"/>
  <c r="X109" i="8"/>
  <c r="D13" i="6"/>
  <c r="E13" i="6"/>
  <c r="G158" i="4"/>
  <c r="E157" i="4"/>
  <c r="E137" i="4"/>
  <c r="D137" i="4"/>
  <c r="F137" i="4" s="1"/>
  <c r="F57" i="4"/>
  <c r="I57" i="4" s="1"/>
  <c r="L57" i="4" s="1"/>
  <c r="H7" i="6"/>
  <c r="G7" i="6"/>
  <c r="G84" i="4"/>
  <c r="D29" i="4"/>
  <c r="R29" i="4" s="1"/>
  <c r="E24" i="10" s="1"/>
  <c r="I84" i="4"/>
  <c r="E11" i="6"/>
  <c r="D11" i="6"/>
  <c r="G13" i="6"/>
  <c r="H13" i="6"/>
  <c r="E12" i="6"/>
  <c r="D12" i="6"/>
  <c r="AT111" i="8"/>
  <c r="Z111" i="8"/>
  <c r="AS111" i="8"/>
  <c r="AR111" i="8"/>
  <c r="X111" i="8"/>
  <c r="AE111" i="8"/>
  <c r="AC111" i="8"/>
  <c r="AB111" i="8"/>
  <c r="T111" i="8"/>
  <c r="R111" i="8"/>
  <c r="P111" i="8"/>
  <c r="N111" i="8"/>
  <c r="AQ111" i="8"/>
  <c r="AP111" i="8"/>
  <c r="AD111" i="8"/>
  <c r="AA111" i="8"/>
  <c r="AO111" i="8"/>
  <c r="V111" i="8"/>
  <c r="R103" i="8"/>
  <c r="P103" i="8"/>
  <c r="N103" i="8"/>
  <c r="AE103" i="8"/>
  <c r="AT103" i="8"/>
  <c r="T103" i="8"/>
  <c r="AS103" i="8"/>
  <c r="AR103" i="8"/>
  <c r="AQ103" i="8"/>
  <c r="AP103" i="8"/>
  <c r="AO103" i="8"/>
  <c r="AC103" i="8"/>
  <c r="AB103" i="8"/>
  <c r="AA103" i="8"/>
  <c r="Z103" i="8"/>
  <c r="X103" i="8"/>
  <c r="AD103" i="8"/>
  <c r="V103" i="8"/>
  <c r="AB136" i="8"/>
  <c r="AA136" i="8"/>
  <c r="AP136" i="8"/>
  <c r="T136" i="8"/>
  <c r="AO136" i="8"/>
  <c r="R136" i="8"/>
  <c r="P136" i="8"/>
  <c r="N136" i="8"/>
  <c r="AE136" i="8"/>
  <c r="AS136" i="8"/>
  <c r="AR136" i="8"/>
  <c r="AQ136" i="8"/>
  <c r="AD136" i="8"/>
  <c r="AC136" i="8"/>
  <c r="Z136" i="8"/>
  <c r="V136" i="8"/>
  <c r="AT136" i="8"/>
  <c r="X136" i="8"/>
  <c r="H92" i="5"/>
  <c r="C89" i="2"/>
  <c r="L89" i="2"/>
  <c r="F92" i="5"/>
  <c r="K76" i="3"/>
  <c r="D92" i="5"/>
  <c r="J76" i="3"/>
  <c r="B92" i="5"/>
  <c r="E135" i="4"/>
  <c r="D135" i="4"/>
  <c r="K28" i="8"/>
  <c r="K27" i="8"/>
  <c r="K56" i="8"/>
  <c r="I284" i="8"/>
  <c r="T284" i="8"/>
  <c r="S284" i="8"/>
  <c r="R284" i="8"/>
  <c r="W284" i="8"/>
  <c r="V284" i="8"/>
  <c r="U284" i="8"/>
  <c r="Q284" i="8"/>
  <c r="P284" i="8"/>
  <c r="N284" i="8"/>
  <c r="M284" i="8"/>
  <c r="L284" i="8"/>
  <c r="K284" i="8"/>
  <c r="J284" i="8"/>
  <c r="H284" i="8"/>
  <c r="G284" i="8"/>
  <c r="F284" i="8"/>
  <c r="O284" i="8"/>
  <c r="E284" i="8"/>
  <c r="C284" i="8"/>
  <c r="D284" i="8"/>
  <c r="G110" i="4"/>
  <c r="G157" i="4"/>
  <c r="E139" i="4"/>
  <c r="D139" i="4"/>
  <c r="F139" i="4" s="1"/>
  <c r="F64" i="4"/>
  <c r="I64" i="4" s="1"/>
  <c r="L64" i="4" s="1"/>
  <c r="J265" i="8"/>
  <c r="E67" i="4"/>
  <c r="H67" i="4" s="1"/>
  <c r="K67" i="4" s="1"/>
  <c r="E9" i="6"/>
  <c r="D9" i="6"/>
  <c r="H12" i="6"/>
  <c r="G12" i="6"/>
  <c r="AR104" i="8"/>
  <c r="X104" i="8"/>
  <c r="AP104" i="8"/>
  <c r="V104" i="8"/>
  <c r="AB104" i="8"/>
  <c r="AA104" i="8"/>
  <c r="Z104" i="8"/>
  <c r="AO104" i="8"/>
  <c r="AE104" i="8"/>
  <c r="AD104" i="8"/>
  <c r="AC104" i="8"/>
  <c r="T104" i="8"/>
  <c r="R104" i="8"/>
  <c r="AT104" i="8"/>
  <c r="AS104" i="8"/>
  <c r="P104" i="8"/>
  <c r="AQ104" i="8"/>
  <c r="N104" i="8"/>
  <c r="AT119" i="8"/>
  <c r="Z119" i="8"/>
  <c r="AS119" i="8"/>
  <c r="AP119" i="8"/>
  <c r="T119" i="8"/>
  <c r="AO119" i="8"/>
  <c r="R119" i="8"/>
  <c r="AD119" i="8"/>
  <c r="AC119" i="8"/>
  <c r="AB119" i="8"/>
  <c r="AA119" i="8"/>
  <c r="X119" i="8"/>
  <c r="V119" i="8"/>
  <c r="AQ119" i="8"/>
  <c r="N119" i="8"/>
  <c r="AE119" i="8"/>
  <c r="P119" i="8"/>
  <c r="AR119" i="8"/>
  <c r="AD123" i="8"/>
  <c r="AC123" i="8"/>
  <c r="R123" i="8"/>
  <c r="P123" i="8"/>
  <c r="AB123" i="8"/>
  <c r="AO123" i="8"/>
  <c r="AE123" i="8"/>
  <c r="AA123" i="8"/>
  <c r="Z123" i="8"/>
  <c r="V123" i="8"/>
  <c r="N123" i="8"/>
  <c r="AT123" i="8"/>
  <c r="AS123" i="8"/>
  <c r="AR123" i="8"/>
  <c r="AQ123" i="8"/>
  <c r="AP123" i="8"/>
  <c r="X123" i="8"/>
  <c r="T123" i="8"/>
  <c r="T138" i="8"/>
  <c r="AP138" i="8"/>
  <c r="R138" i="8"/>
  <c r="AO138" i="8"/>
  <c r="P138" i="8"/>
  <c r="N138" i="8"/>
  <c r="AD138" i="8"/>
  <c r="AC138" i="8"/>
  <c r="V138" i="8"/>
  <c r="AS138" i="8"/>
  <c r="AR138" i="8"/>
  <c r="AT138" i="8"/>
  <c r="AQ138" i="8"/>
  <c r="AB138" i="8"/>
  <c r="AA138" i="8"/>
  <c r="Z138" i="8"/>
  <c r="X138" i="8"/>
  <c r="AE138" i="8"/>
  <c r="L27" i="3"/>
  <c r="E61" i="8"/>
  <c r="S110" i="8" s="1"/>
  <c r="G28" i="8"/>
  <c r="G27" i="8"/>
  <c r="G56" i="8"/>
  <c r="G153" i="4"/>
  <c r="E58" i="4"/>
  <c r="H58" i="4" s="1"/>
  <c r="K58" i="4" s="1"/>
  <c r="E138" i="4"/>
  <c r="D138" i="4"/>
  <c r="F138" i="4" s="1"/>
  <c r="F60" i="4"/>
  <c r="I60" i="4" s="1"/>
  <c r="L60" i="4" s="1"/>
  <c r="H9" i="6"/>
  <c r="G9" i="6"/>
  <c r="F62" i="4"/>
  <c r="I62" i="4" s="1"/>
  <c r="L62" i="4" s="1"/>
  <c r="AE130" i="8"/>
  <c r="AT130" i="8"/>
  <c r="X130" i="8"/>
  <c r="AS130" i="8"/>
  <c r="AR130" i="8"/>
  <c r="V130" i="8"/>
  <c r="AQ130" i="8"/>
  <c r="AP130" i="8"/>
  <c r="T130" i="8"/>
  <c r="AO130" i="8"/>
  <c r="R130" i="8"/>
  <c r="N130" i="8"/>
  <c r="AD130" i="8"/>
  <c r="AC130" i="8"/>
  <c r="AB130" i="8"/>
  <c r="P130" i="8"/>
  <c r="AA130" i="8"/>
  <c r="Z130" i="8"/>
  <c r="V102" i="8"/>
  <c r="AE140" i="8"/>
  <c r="R140" i="8"/>
  <c r="P140" i="8"/>
  <c r="N140" i="8"/>
  <c r="AB140" i="8"/>
  <c r="AA140" i="8"/>
  <c r="AQ140" i="8"/>
  <c r="AP140" i="8"/>
  <c r="AO140" i="8"/>
  <c r="AD140" i="8"/>
  <c r="AC140" i="8"/>
  <c r="Z140" i="8"/>
  <c r="X140" i="8"/>
  <c r="T140" i="8"/>
  <c r="AT140" i="8"/>
  <c r="AS140" i="8"/>
  <c r="AR140" i="8"/>
  <c r="V140" i="8"/>
  <c r="H91" i="5"/>
  <c r="D91" i="5"/>
  <c r="B91" i="5"/>
  <c r="C88" i="2"/>
  <c r="F91" i="5"/>
  <c r="E158" i="4"/>
  <c r="E111" i="4"/>
  <c r="G108" i="4"/>
  <c r="W277" i="8"/>
  <c r="C277" i="8"/>
  <c r="F277" i="8"/>
  <c r="E277" i="8"/>
  <c r="D277" i="8"/>
  <c r="V277" i="8"/>
  <c r="L277" i="8"/>
  <c r="K277" i="8"/>
  <c r="J277" i="8"/>
  <c r="I277" i="8"/>
  <c r="H277" i="8"/>
  <c r="G277" i="8"/>
  <c r="T277" i="8"/>
  <c r="S277" i="8"/>
  <c r="R277" i="8"/>
  <c r="Q277" i="8"/>
  <c r="P277" i="8"/>
  <c r="O277" i="8"/>
  <c r="N277" i="8"/>
  <c r="M277" i="8"/>
  <c r="U277" i="8"/>
  <c r="H28" i="8"/>
  <c r="H27" i="8"/>
  <c r="H56" i="8"/>
  <c r="O281" i="8"/>
  <c r="W281" i="8"/>
  <c r="V281" i="8"/>
  <c r="U281" i="8"/>
  <c r="M281" i="8"/>
  <c r="L281" i="8"/>
  <c r="K281" i="8"/>
  <c r="J281" i="8"/>
  <c r="I281" i="8"/>
  <c r="R281" i="8"/>
  <c r="Q281" i="8"/>
  <c r="P281" i="8"/>
  <c r="N281" i="8"/>
  <c r="H281" i="8"/>
  <c r="G281" i="8"/>
  <c r="F281" i="8"/>
  <c r="E281" i="8"/>
  <c r="T281" i="8"/>
  <c r="S281" i="8"/>
  <c r="D281" i="8"/>
  <c r="C281" i="8"/>
  <c r="M302" i="8"/>
  <c r="C302" i="8"/>
  <c r="W302" i="8"/>
  <c r="V302" i="8"/>
  <c r="U302" i="8"/>
  <c r="T302" i="8"/>
  <c r="S302" i="8"/>
  <c r="R302" i="8"/>
  <c r="Q302" i="8"/>
  <c r="P302" i="8"/>
  <c r="E302" i="8"/>
  <c r="D302" i="8"/>
  <c r="O302" i="8"/>
  <c r="N302" i="8"/>
  <c r="L302" i="8"/>
  <c r="K302" i="8"/>
  <c r="J302" i="8"/>
  <c r="G302" i="8"/>
  <c r="F302" i="8"/>
  <c r="H302" i="8"/>
  <c r="I302" i="8"/>
  <c r="G55" i="4"/>
  <c r="J55" i="4" s="1"/>
  <c r="M55" i="4" s="1"/>
  <c r="I314" i="8"/>
  <c r="M314" i="8"/>
  <c r="L314" i="8"/>
  <c r="K314" i="8"/>
  <c r="E314" i="8"/>
  <c r="D314" i="8"/>
  <c r="C314" i="8"/>
  <c r="W314" i="8"/>
  <c r="V314" i="8"/>
  <c r="U314" i="8"/>
  <c r="O314" i="8"/>
  <c r="N314" i="8"/>
  <c r="J314" i="8"/>
  <c r="H314" i="8"/>
  <c r="G314" i="8"/>
  <c r="F314" i="8"/>
  <c r="T314" i="8"/>
  <c r="S314" i="8"/>
  <c r="R314" i="8"/>
  <c r="Q314" i="8"/>
  <c r="P314" i="8"/>
  <c r="AR114" i="8"/>
  <c r="X114" i="8"/>
  <c r="AQ114" i="8"/>
  <c r="AP114" i="8"/>
  <c r="V114" i="8"/>
  <c r="AB114" i="8"/>
  <c r="AA114" i="8"/>
  <c r="Z114" i="8"/>
  <c r="AT114" i="8"/>
  <c r="T114" i="8"/>
  <c r="AS114" i="8"/>
  <c r="AO114" i="8"/>
  <c r="R114" i="8"/>
  <c r="AE114" i="8"/>
  <c r="AD114" i="8"/>
  <c r="AC114" i="8"/>
  <c r="P114" i="8"/>
  <c r="N114" i="8"/>
  <c r="AP125" i="8"/>
  <c r="V125" i="8"/>
  <c r="AO125" i="8"/>
  <c r="P125" i="8"/>
  <c r="N125" i="8"/>
  <c r="AE125" i="8"/>
  <c r="AB125" i="8"/>
  <c r="AT125" i="8"/>
  <c r="AS125" i="8"/>
  <c r="AR125" i="8"/>
  <c r="AQ125" i="8"/>
  <c r="AA125" i="8"/>
  <c r="Z125" i="8"/>
  <c r="T125" i="8"/>
  <c r="R125" i="8"/>
  <c r="AD125" i="8"/>
  <c r="AC125" i="8"/>
  <c r="X125" i="8"/>
  <c r="L26" i="3"/>
  <c r="D61" i="8"/>
  <c r="Q124" i="8" s="1"/>
  <c r="G11" i="6"/>
  <c r="H11" i="6"/>
  <c r="E154" i="4"/>
  <c r="G112" i="4"/>
  <c r="D22" i="8"/>
  <c r="G59" i="4"/>
  <c r="J59" i="4" s="1"/>
  <c r="M59" i="4" s="1"/>
  <c r="U278" i="8"/>
  <c r="E278" i="8"/>
  <c r="D278" i="8"/>
  <c r="C278" i="8"/>
  <c r="G278" i="8"/>
  <c r="F278" i="8"/>
  <c r="R278" i="8"/>
  <c r="Q278" i="8"/>
  <c r="P278" i="8"/>
  <c r="O278" i="8"/>
  <c r="N278" i="8"/>
  <c r="M278" i="8"/>
  <c r="L278" i="8"/>
  <c r="K278" i="8"/>
  <c r="H278" i="8"/>
  <c r="W278" i="8"/>
  <c r="S278" i="8"/>
  <c r="I278" i="8"/>
  <c r="V278" i="8"/>
  <c r="T278" i="8"/>
  <c r="J278" i="8"/>
  <c r="I294" i="8"/>
  <c r="K294" i="8"/>
  <c r="J294" i="8"/>
  <c r="H294" i="8"/>
  <c r="W294" i="8"/>
  <c r="V294" i="8"/>
  <c r="U294" i="8"/>
  <c r="T294" i="8"/>
  <c r="S294" i="8"/>
  <c r="C294" i="8"/>
  <c r="R294" i="8"/>
  <c r="Q294" i="8"/>
  <c r="P294" i="8"/>
  <c r="O294" i="8"/>
  <c r="N294" i="8"/>
  <c r="M294" i="8"/>
  <c r="L294" i="8"/>
  <c r="G294" i="8"/>
  <c r="F294" i="8"/>
  <c r="E294" i="8"/>
  <c r="D294" i="8"/>
  <c r="F65" i="4"/>
  <c r="I65" i="4" s="1"/>
  <c r="L65" i="4" s="1"/>
  <c r="AC102" i="8"/>
  <c r="AE112" i="8"/>
  <c r="AD112" i="8"/>
  <c r="X112" i="8"/>
  <c r="AT112" i="8"/>
  <c r="AS112" i="8"/>
  <c r="V112" i="8"/>
  <c r="AR112" i="8"/>
  <c r="AQ112" i="8"/>
  <c r="T112" i="8"/>
  <c r="AO112" i="8"/>
  <c r="R112" i="8"/>
  <c r="AA112" i="8"/>
  <c r="Z112" i="8"/>
  <c r="P112" i="8"/>
  <c r="N112" i="8"/>
  <c r="AP112" i="8"/>
  <c r="AC112" i="8"/>
  <c r="AB112" i="8"/>
  <c r="AP135" i="8"/>
  <c r="V135" i="8"/>
  <c r="AO135" i="8"/>
  <c r="AE135" i="8"/>
  <c r="AD135" i="8"/>
  <c r="AC135" i="8"/>
  <c r="AB135" i="8"/>
  <c r="AA135" i="8"/>
  <c r="Z135" i="8"/>
  <c r="AR135" i="8"/>
  <c r="T135" i="8"/>
  <c r="AQ135" i="8"/>
  <c r="X135" i="8"/>
  <c r="R135" i="8"/>
  <c r="N135" i="8"/>
  <c r="AT135" i="8"/>
  <c r="P135" i="8"/>
  <c r="AS135" i="8"/>
  <c r="AD102" i="8"/>
  <c r="E65" i="4"/>
  <c r="H65" i="4" s="1"/>
  <c r="K65" i="4" s="1"/>
  <c r="M312" i="8"/>
  <c r="O312" i="8"/>
  <c r="N312" i="8"/>
  <c r="L312" i="8"/>
  <c r="W312" i="8"/>
  <c r="V312" i="8"/>
  <c r="U312" i="8"/>
  <c r="T312" i="8"/>
  <c r="S312" i="8"/>
  <c r="R312" i="8"/>
  <c r="Q312" i="8"/>
  <c r="I312" i="8"/>
  <c r="H312" i="8"/>
  <c r="G312" i="8"/>
  <c r="F312" i="8"/>
  <c r="E312" i="8"/>
  <c r="D312" i="8"/>
  <c r="C312" i="8"/>
  <c r="P312" i="8"/>
  <c r="K312" i="8"/>
  <c r="J312" i="8"/>
  <c r="R113" i="8"/>
  <c r="P113" i="8"/>
  <c r="AE113" i="8"/>
  <c r="AD113" i="8"/>
  <c r="AC113" i="8"/>
  <c r="Z113" i="8"/>
  <c r="X113" i="8"/>
  <c r="V113" i="8"/>
  <c r="T113" i="8"/>
  <c r="N113" i="8"/>
  <c r="AT113" i="8"/>
  <c r="AS113" i="8"/>
  <c r="AR113" i="8"/>
  <c r="AQ113" i="8"/>
  <c r="AP113" i="8"/>
  <c r="AO113" i="8"/>
  <c r="AB113" i="8"/>
  <c r="AA113" i="8"/>
  <c r="E22" i="8"/>
  <c r="E23" i="8" s="1"/>
  <c r="G66" i="4"/>
  <c r="J66" i="4" s="1"/>
  <c r="M66" i="4" s="1"/>
  <c r="W307" i="8"/>
  <c r="C307" i="8"/>
  <c r="S307" i="8"/>
  <c r="R307" i="8"/>
  <c r="Q307" i="8"/>
  <c r="K307" i="8"/>
  <c r="J307" i="8"/>
  <c r="I307" i="8"/>
  <c r="H307" i="8"/>
  <c r="G307" i="8"/>
  <c r="F307" i="8"/>
  <c r="E307" i="8"/>
  <c r="V307" i="8"/>
  <c r="U307" i="8"/>
  <c r="T307" i="8"/>
  <c r="P307" i="8"/>
  <c r="O307" i="8"/>
  <c r="N307" i="8"/>
  <c r="M307" i="8"/>
  <c r="L307" i="8"/>
  <c r="D307" i="8"/>
  <c r="G68" i="4"/>
  <c r="J68" i="4" s="1"/>
  <c r="M68" i="4" s="1"/>
  <c r="E55" i="4"/>
  <c r="H55" i="4" s="1"/>
  <c r="K55" i="4" s="1"/>
  <c r="AT129" i="8"/>
  <c r="Z129" i="8"/>
  <c r="AS129" i="8"/>
  <c r="N129" i="8"/>
  <c r="AE129" i="8"/>
  <c r="AD129" i="8"/>
  <c r="AC129" i="8"/>
  <c r="X129" i="8"/>
  <c r="AB129" i="8"/>
  <c r="AA129" i="8"/>
  <c r="V129" i="8"/>
  <c r="T129" i="8"/>
  <c r="P129" i="8"/>
  <c r="AR129" i="8"/>
  <c r="AQ129" i="8"/>
  <c r="AP129" i="8"/>
  <c r="AO129" i="8"/>
  <c r="R129" i="8"/>
  <c r="G64" i="4"/>
  <c r="J64" i="4" s="1"/>
  <c r="M64" i="4" s="1"/>
  <c r="K293" i="8"/>
  <c r="L293" i="8"/>
  <c r="J293" i="8"/>
  <c r="I293" i="8"/>
  <c r="V293" i="8"/>
  <c r="U293" i="8"/>
  <c r="T293" i="8"/>
  <c r="S293" i="8"/>
  <c r="R293" i="8"/>
  <c r="Q293" i="8"/>
  <c r="W293" i="8"/>
  <c r="P293" i="8"/>
  <c r="O293" i="8"/>
  <c r="N293" i="8"/>
  <c r="M293" i="8"/>
  <c r="H293" i="8"/>
  <c r="C293" i="8"/>
  <c r="G293" i="8"/>
  <c r="F293" i="8"/>
  <c r="E293" i="8"/>
  <c r="D293" i="8"/>
  <c r="F22" i="8"/>
  <c r="F48" i="8" s="1"/>
  <c r="E286" i="8"/>
  <c r="R286" i="8"/>
  <c r="Q286" i="8"/>
  <c r="P286" i="8"/>
  <c r="C286" i="8"/>
  <c r="W286" i="8"/>
  <c r="H286" i="8"/>
  <c r="G286" i="8"/>
  <c r="F286" i="8"/>
  <c r="D286" i="8"/>
  <c r="V286" i="8"/>
  <c r="U286" i="8"/>
  <c r="T286" i="8"/>
  <c r="S286" i="8"/>
  <c r="N286" i="8"/>
  <c r="M286" i="8"/>
  <c r="O286" i="8"/>
  <c r="L286" i="8"/>
  <c r="K286" i="8"/>
  <c r="J286" i="8"/>
  <c r="I286" i="8"/>
  <c r="G58" i="4"/>
  <c r="J58" i="4" s="1"/>
  <c r="M58" i="4" s="1"/>
  <c r="AE120" i="8"/>
  <c r="AD120" i="8"/>
  <c r="AC120" i="8"/>
  <c r="AB120" i="8"/>
  <c r="AT120" i="8"/>
  <c r="AS120" i="8"/>
  <c r="T120" i="8"/>
  <c r="AR120" i="8"/>
  <c r="AQ120" i="8"/>
  <c r="R120" i="8"/>
  <c r="AP120" i="8"/>
  <c r="AO120" i="8"/>
  <c r="P120" i="8"/>
  <c r="N120" i="8"/>
  <c r="Z120" i="8"/>
  <c r="X120" i="8"/>
  <c r="V120" i="8"/>
  <c r="AA120" i="8"/>
  <c r="F68" i="4"/>
  <c r="I68" i="4" s="1"/>
  <c r="L68" i="4" s="1"/>
  <c r="E107" i="4"/>
  <c r="Q300" i="8"/>
  <c r="E300" i="8"/>
  <c r="D300" i="8"/>
  <c r="C300" i="8"/>
  <c r="P300" i="8"/>
  <c r="O300" i="8"/>
  <c r="N300" i="8"/>
  <c r="M300" i="8"/>
  <c r="L300" i="8"/>
  <c r="K300" i="8"/>
  <c r="I300" i="8"/>
  <c r="H300" i="8"/>
  <c r="G300" i="8"/>
  <c r="F300" i="8"/>
  <c r="W300" i="8"/>
  <c r="V300" i="8"/>
  <c r="U300" i="8"/>
  <c r="T300" i="8"/>
  <c r="S300" i="8"/>
  <c r="R300" i="8"/>
  <c r="J300" i="8"/>
  <c r="Q290" i="8"/>
  <c r="N290" i="8"/>
  <c r="M290" i="8"/>
  <c r="L290" i="8"/>
  <c r="O290" i="8"/>
  <c r="K290" i="8"/>
  <c r="J290" i="8"/>
  <c r="I290" i="8"/>
  <c r="H290" i="8"/>
  <c r="G290" i="8"/>
  <c r="U290" i="8"/>
  <c r="T290" i="8"/>
  <c r="S290" i="8"/>
  <c r="R290" i="8"/>
  <c r="P290" i="8"/>
  <c r="F290" i="8"/>
  <c r="E290" i="8"/>
  <c r="D290" i="8"/>
  <c r="C290" i="8"/>
  <c r="V290" i="8"/>
  <c r="W290" i="8"/>
  <c r="O291" i="8"/>
  <c r="M291" i="8"/>
  <c r="L291" i="8"/>
  <c r="K291" i="8"/>
  <c r="R291" i="8"/>
  <c r="Q291" i="8"/>
  <c r="P291" i="8"/>
  <c r="N291" i="8"/>
  <c r="J291" i="8"/>
  <c r="I291" i="8"/>
  <c r="W291" i="8"/>
  <c r="V291" i="8"/>
  <c r="U291" i="8"/>
  <c r="T291" i="8"/>
  <c r="S291" i="8"/>
  <c r="H291" i="8"/>
  <c r="G291" i="8"/>
  <c r="F291" i="8"/>
  <c r="E291" i="8"/>
  <c r="C291" i="8"/>
  <c r="D291" i="8"/>
  <c r="G22" i="8"/>
  <c r="G23" i="8" s="1"/>
  <c r="H14" i="6"/>
  <c r="G14" i="6"/>
  <c r="F93" i="5"/>
  <c r="D93" i="5"/>
  <c r="J77" i="3"/>
  <c r="L90" i="2"/>
  <c r="B93" i="5"/>
  <c r="C90" i="2"/>
  <c r="K77" i="3"/>
  <c r="H93" i="5"/>
  <c r="AB108" i="8"/>
  <c r="AT108" i="8"/>
  <c r="Z108" i="8"/>
  <c r="X108" i="8"/>
  <c r="AS108" i="8"/>
  <c r="AR108" i="8"/>
  <c r="V108" i="8"/>
  <c r="AQ108" i="8"/>
  <c r="AP108" i="8"/>
  <c r="R108" i="8"/>
  <c r="T108" i="8"/>
  <c r="P108" i="8"/>
  <c r="N108" i="8"/>
  <c r="AO108" i="8"/>
  <c r="AE108" i="8"/>
  <c r="AD108" i="8"/>
  <c r="AC108" i="8"/>
  <c r="AA108" i="8"/>
  <c r="T128" i="8"/>
  <c r="Z128" i="8"/>
  <c r="AT128" i="8"/>
  <c r="X128" i="8"/>
  <c r="AS128" i="8"/>
  <c r="AR128" i="8"/>
  <c r="V128" i="8"/>
  <c r="AQ128" i="8"/>
  <c r="AP128" i="8"/>
  <c r="R128" i="8"/>
  <c r="AO128" i="8"/>
  <c r="N128" i="8"/>
  <c r="AD128" i="8"/>
  <c r="AC128" i="8"/>
  <c r="AB128" i="8"/>
  <c r="AA128" i="8"/>
  <c r="P128" i="8"/>
  <c r="AE128" i="8"/>
  <c r="N127" i="8"/>
  <c r="P127" i="8"/>
  <c r="AE127" i="8"/>
  <c r="AD127" i="8"/>
  <c r="AC127" i="8"/>
  <c r="Z127" i="8"/>
  <c r="V127" i="8"/>
  <c r="T127" i="8"/>
  <c r="R127" i="8"/>
  <c r="AT127" i="8"/>
  <c r="AQ127" i="8"/>
  <c r="AP127" i="8"/>
  <c r="AB127" i="8"/>
  <c r="AA127" i="8"/>
  <c r="X127" i="8"/>
  <c r="AS127" i="8"/>
  <c r="AR127" i="8"/>
  <c r="AO127" i="8"/>
  <c r="F58" i="4"/>
  <c r="I58" i="4" s="1"/>
  <c r="L58" i="4" s="1"/>
  <c r="G107" i="4"/>
  <c r="U288" i="8"/>
  <c r="P288" i="8"/>
  <c r="O288" i="8"/>
  <c r="N288" i="8"/>
  <c r="H288" i="8"/>
  <c r="G288" i="8"/>
  <c r="F288" i="8"/>
  <c r="E288" i="8"/>
  <c r="D288" i="8"/>
  <c r="W288" i="8"/>
  <c r="V288" i="8"/>
  <c r="T288" i="8"/>
  <c r="S288" i="8"/>
  <c r="R288" i="8"/>
  <c r="L288" i="8"/>
  <c r="K288" i="8"/>
  <c r="J288" i="8"/>
  <c r="I288" i="8"/>
  <c r="C288" i="8"/>
  <c r="M288" i="8"/>
  <c r="Q288" i="8"/>
  <c r="K313" i="8"/>
  <c r="N313" i="8"/>
  <c r="M313" i="8"/>
  <c r="L313" i="8"/>
  <c r="C313" i="8"/>
  <c r="W313" i="8"/>
  <c r="V313" i="8"/>
  <c r="U313" i="8"/>
  <c r="T313" i="8"/>
  <c r="S313" i="8"/>
  <c r="R313" i="8"/>
  <c r="Q313" i="8"/>
  <c r="J313" i="8"/>
  <c r="D313" i="8"/>
  <c r="O313" i="8"/>
  <c r="P313" i="8"/>
  <c r="I313" i="8"/>
  <c r="H313" i="8"/>
  <c r="G313" i="8"/>
  <c r="F313" i="8"/>
  <c r="E313" i="8"/>
  <c r="L21" i="8"/>
  <c r="G56" i="4"/>
  <c r="J56" i="4" s="1"/>
  <c r="M56" i="4" s="1"/>
  <c r="E14" i="6"/>
  <c r="D14" i="6"/>
  <c r="L28" i="3"/>
  <c r="F61" i="8"/>
  <c r="U126" i="8" s="1"/>
  <c r="P116" i="8"/>
  <c r="N116" i="8"/>
  <c r="AC116" i="8"/>
  <c r="AB116" i="8"/>
  <c r="AA116" i="8"/>
  <c r="Z116" i="8"/>
  <c r="X116" i="8"/>
  <c r="AT116" i="8"/>
  <c r="AS116" i="8"/>
  <c r="V116" i="8"/>
  <c r="AP116" i="8"/>
  <c r="AO116" i="8"/>
  <c r="AE116" i="8"/>
  <c r="AD116" i="8"/>
  <c r="T116" i="8"/>
  <c r="R116" i="8"/>
  <c r="AR116" i="8"/>
  <c r="AQ116" i="8"/>
  <c r="AT139" i="8"/>
  <c r="Z139" i="8"/>
  <c r="AS139" i="8"/>
  <c r="AD139" i="8"/>
  <c r="AC139" i="8"/>
  <c r="AB139" i="8"/>
  <c r="AA139" i="8"/>
  <c r="X139" i="8"/>
  <c r="AR139" i="8"/>
  <c r="V139" i="8"/>
  <c r="AQ139" i="8"/>
  <c r="R139" i="8"/>
  <c r="AE139" i="8"/>
  <c r="T139" i="8"/>
  <c r="P139" i="8"/>
  <c r="N139" i="8"/>
  <c r="AO139" i="8"/>
  <c r="AP139" i="8"/>
  <c r="AD133" i="8"/>
  <c r="AC133" i="8"/>
  <c r="AE133" i="8"/>
  <c r="AB133" i="8"/>
  <c r="AA133" i="8"/>
  <c r="Z133" i="8"/>
  <c r="AR133" i="8"/>
  <c r="V133" i="8"/>
  <c r="R133" i="8"/>
  <c r="P133" i="8"/>
  <c r="AT133" i="8"/>
  <c r="N133" i="8"/>
  <c r="AS133" i="8"/>
  <c r="AQ133" i="8"/>
  <c r="AP133" i="8"/>
  <c r="AO133" i="8"/>
  <c r="X133" i="8"/>
  <c r="T133" i="8"/>
  <c r="N137" i="8"/>
  <c r="AD137" i="8"/>
  <c r="AC137" i="8"/>
  <c r="AB137" i="8"/>
  <c r="AA137" i="8"/>
  <c r="Z137" i="8"/>
  <c r="AT137" i="8"/>
  <c r="X137" i="8"/>
  <c r="AS137" i="8"/>
  <c r="AP137" i="8"/>
  <c r="T137" i="8"/>
  <c r="AO137" i="8"/>
  <c r="AR137" i="8"/>
  <c r="AQ137" i="8"/>
  <c r="R137" i="8"/>
  <c r="P137" i="8"/>
  <c r="AE137" i="8"/>
  <c r="V137" i="8"/>
  <c r="L63" i="8"/>
  <c r="L62" i="8"/>
  <c r="L89" i="8"/>
  <c r="G15" i="6"/>
  <c r="H15" i="6"/>
  <c r="E15" i="6"/>
  <c r="D15" i="6"/>
  <c r="F90" i="5"/>
  <c r="D90" i="5"/>
  <c r="B90" i="5"/>
  <c r="L87" i="2"/>
  <c r="K74" i="3"/>
  <c r="J74" i="3"/>
  <c r="C87" i="2"/>
  <c r="H90" i="5"/>
  <c r="E306" i="8"/>
  <c r="T306" i="8"/>
  <c r="S306" i="8"/>
  <c r="R306" i="8"/>
  <c r="I306" i="8"/>
  <c r="H306" i="8"/>
  <c r="G306" i="8"/>
  <c r="F306" i="8"/>
  <c r="D306" i="8"/>
  <c r="C306" i="8"/>
  <c r="W306" i="8"/>
  <c r="V306" i="8"/>
  <c r="U306" i="8"/>
  <c r="Q306" i="8"/>
  <c r="P306" i="8"/>
  <c r="O306" i="8"/>
  <c r="N306" i="8"/>
  <c r="M306" i="8"/>
  <c r="L306" i="8"/>
  <c r="K306" i="8"/>
  <c r="J306" i="8"/>
  <c r="H22" i="8"/>
  <c r="H23" i="8" s="1"/>
  <c r="E57" i="4"/>
  <c r="H57" i="4" s="1"/>
  <c r="K57" i="4" s="1"/>
  <c r="E66" i="4"/>
  <c r="H66" i="4" s="1"/>
  <c r="K66" i="4" s="1"/>
  <c r="R131" i="8"/>
  <c r="AE131" i="8"/>
  <c r="AD131" i="8"/>
  <c r="AC131" i="8"/>
  <c r="AB131" i="8"/>
  <c r="AA131" i="8"/>
  <c r="AT131" i="8"/>
  <c r="X131" i="8"/>
  <c r="AS131" i="8"/>
  <c r="AR131" i="8"/>
  <c r="AQ131" i="8"/>
  <c r="AP131" i="8"/>
  <c r="AO131" i="8"/>
  <c r="Z131" i="8"/>
  <c r="V131" i="8"/>
  <c r="P131" i="8"/>
  <c r="N131" i="8"/>
  <c r="T131" i="8"/>
  <c r="AR117" i="8"/>
  <c r="V117" i="8"/>
  <c r="AQ117" i="8"/>
  <c r="AP117" i="8"/>
  <c r="T117" i="8"/>
  <c r="AT117" i="8"/>
  <c r="R117" i="8"/>
  <c r="AS117" i="8"/>
  <c r="AO117" i="8"/>
  <c r="P117" i="8"/>
  <c r="N117" i="8"/>
  <c r="AE117" i="8"/>
  <c r="AD117" i="8"/>
  <c r="AB117" i="8"/>
  <c r="AA117" i="8"/>
  <c r="Z117" i="8"/>
  <c r="X117" i="8"/>
  <c r="AC117" i="8"/>
  <c r="Y31" i="3"/>
  <c r="Z31" i="3" s="1"/>
  <c r="J62" i="8"/>
  <c r="J63" i="8"/>
  <c r="J89" i="8"/>
  <c r="E8" i="6"/>
  <c r="D8" i="6"/>
  <c r="F67" i="4"/>
  <c r="I67" i="4" s="1"/>
  <c r="L67" i="4" s="1"/>
  <c r="AD115" i="8"/>
  <c r="AC115" i="8"/>
  <c r="AB115" i="8"/>
  <c r="P115" i="8"/>
  <c r="N115" i="8"/>
  <c r="AP115" i="8"/>
  <c r="AO115" i="8"/>
  <c r="AE115" i="8"/>
  <c r="AA115" i="8"/>
  <c r="Z115" i="8"/>
  <c r="X115" i="8"/>
  <c r="V115" i="8"/>
  <c r="T115" i="8"/>
  <c r="R115" i="8"/>
  <c r="AT115" i="8"/>
  <c r="AS115" i="8"/>
  <c r="AR115" i="8"/>
  <c r="AQ115" i="8"/>
  <c r="G60" i="4"/>
  <c r="J60" i="4" s="1"/>
  <c r="M60" i="4" s="1"/>
  <c r="L25" i="3"/>
  <c r="C61" i="8"/>
  <c r="O124" i="8" s="1"/>
  <c r="K283" i="8"/>
  <c r="U283" i="8"/>
  <c r="T283" i="8"/>
  <c r="S283" i="8"/>
  <c r="R283" i="8"/>
  <c r="Q283" i="8"/>
  <c r="P283" i="8"/>
  <c r="O283" i="8"/>
  <c r="N283" i="8"/>
  <c r="F283" i="8"/>
  <c r="E283" i="8"/>
  <c r="D283" i="8"/>
  <c r="C283" i="8"/>
  <c r="J283" i="8"/>
  <c r="I283" i="8"/>
  <c r="H283" i="8"/>
  <c r="G283" i="8"/>
  <c r="V283" i="8"/>
  <c r="L283" i="8"/>
  <c r="W283" i="8"/>
  <c r="M283" i="8"/>
  <c r="S299" i="8"/>
  <c r="F299" i="8"/>
  <c r="E299" i="8"/>
  <c r="D299" i="8"/>
  <c r="N299" i="8"/>
  <c r="M299" i="8"/>
  <c r="L299" i="8"/>
  <c r="K299" i="8"/>
  <c r="J299" i="8"/>
  <c r="I299" i="8"/>
  <c r="W299" i="8"/>
  <c r="V299" i="8"/>
  <c r="U299" i="8"/>
  <c r="T299" i="8"/>
  <c r="R299" i="8"/>
  <c r="Q299" i="8"/>
  <c r="P299" i="8"/>
  <c r="O299" i="8"/>
  <c r="H299" i="8"/>
  <c r="G299" i="8"/>
  <c r="C299" i="8"/>
  <c r="F156" i="4"/>
  <c r="F112" i="4"/>
  <c r="G6" i="6"/>
  <c r="H6" i="6"/>
  <c r="G295" i="8"/>
  <c r="J295" i="8"/>
  <c r="I295" i="8"/>
  <c r="H295" i="8"/>
  <c r="W295" i="8"/>
  <c r="V295" i="8"/>
  <c r="U295" i="8"/>
  <c r="O295" i="8"/>
  <c r="N295" i="8"/>
  <c r="M295" i="8"/>
  <c r="L295" i="8"/>
  <c r="K295" i="8"/>
  <c r="F295" i="8"/>
  <c r="E295" i="8"/>
  <c r="D295" i="8"/>
  <c r="S295" i="8"/>
  <c r="R295" i="8"/>
  <c r="Q295" i="8"/>
  <c r="P295" i="8"/>
  <c r="C295" i="8"/>
  <c r="T295" i="8"/>
  <c r="M292" i="8"/>
  <c r="L292" i="8"/>
  <c r="K292" i="8"/>
  <c r="J292" i="8"/>
  <c r="T292" i="8"/>
  <c r="S292" i="8"/>
  <c r="R292" i="8"/>
  <c r="Q292" i="8"/>
  <c r="P292" i="8"/>
  <c r="O292" i="8"/>
  <c r="G292" i="8"/>
  <c r="F292" i="8"/>
  <c r="E292" i="8"/>
  <c r="D292" i="8"/>
  <c r="C292" i="8"/>
  <c r="W292" i="8"/>
  <c r="V292" i="8"/>
  <c r="U292" i="8"/>
  <c r="N292" i="8"/>
  <c r="I292" i="8"/>
  <c r="H292" i="8"/>
  <c r="K21" i="8"/>
  <c r="J28" i="8"/>
  <c r="J27" i="8"/>
  <c r="J56" i="8"/>
  <c r="G62" i="4"/>
  <c r="J62" i="4" s="1"/>
  <c r="M62" i="4" s="1"/>
  <c r="G8" i="6"/>
  <c r="H8" i="6"/>
  <c r="AR122" i="8"/>
  <c r="X122" i="8"/>
  <c r="AQ122" i="8"/>
  <c r="AD122" i="8"/>
  <c r="AC122" i="8"/>
  <c r="AB122" i="8"/>
  <c r="AA122" i="8"/>
  <c r="AT122" i="8"/>
  <c r="V122" i="8"/>
  <c r="R122" i="8"/>
  <c r="AS122" i="8"/>
  <c r="AP122" i="8"/>
  <c r="AO122" i="8"/>
  <c r="AE122" i="8"/>
  <c r="Z122" i="8"/>
  <c r="T122" i="8"/>
  <c r="P122" i="8"/>
  <c r="N122" i="8"/>
  <c r="T118" i="8"/>
  <c r="AE118" i="8"/>
  <c r="AD118" i="8"/>
  <c r="AC118" i="8"/>
  <c r="AB118" i="8"/>
  <c r="AA118" i="8"/>
  <c r="X118" i="8"/>
  <c r="R118" i="8"/>
  <c r="P118" i="8"/>
  <c r="N118" i="8"/>
  <c r="AT118" i="8"/>
  <c r="AR118" i="8"/>
  <c r="AQ118" i="8"/>
  <c r="AP118" i="8"/>
  <c r="AO118" i="8"/>
  <c r="Z118" i="8"/>
  <c r="AS118" i="8"/>
  <c r="V118" i="8"/>
  <c r="AD105" i="8"/>
  <c r="AB105" i="8"/>
  <c r="P105" i="8"/>
  <c r="N105" i="8"/>
  <c r="AE105" i="8"/>
  <c r="AC105" i="8"/>
  <c r="AA105" i="8"/>
  <c r="Z105" i="8"/>
  <c r="X105" i="8"/>
  <c r="V105" i="8"/>
  <c r="T105" i="8"/>
  <c r="AT105" i="8"/>
  <c r="AS105" i="8"/>
  <c r="R105" i="8"/>
  <c r="AR105" i="8"/>
  <c r="AQ105" i="8"/>
  <c r="AP105" i="8"/>
  <c r="AO105" i="8"/>
  <c r="G57" i="4"/>
  <c r="J57" i="4" s="1"/>
  <c r="M57" i="4" s="1"/>
  <c r="P134" i="8"/>
  <c r="AR134" i="8"/>
  <c r="V134" i="8"/>
  <c r="AQ134" i="8"/>
  <c r="AP134" i="8"/>
  <c r="T134" i="8"/>
  <c r="AO134" i="8"/>
  <c r="R134" i="8"/>
  <c r="N134" i="8"/>
  <c r="AA134" i="8"/>
  <c r="Z134" i="8"/>
  <c r="X134" i="8"/>
  <c r="AE134" i="8"/>
  <c r="AD134" i="8"/>
  <c r="AC134" i="8"/>
  <c r="AB134" i="8"/>
  <c r="AT134" i="8"/>
  <c r="AS134" i="8"/>
  <c r="G67" i="4"/>
  <c r="J67" i="4" s="1"/>
  <c r="M67" i="4" s="1"/>
  <c r="E109" i="4"/>
  <c r="F155" i="4"/>
  <c r="E6" i="6"/>
  <c r="D6" i="6"/>
  <c r="G315" i="8"/>
  <c r="L315" i="8"/>
  <c r="K315" i="8"/>
  <c r="J315" i="8"/>
  <c r="H315" i="8"/>
  <c r="F315" i="8"/>
  <c r="E315" i="8"/>
  <c r="D315" i="8"/>
  <c r="C315" i="8"/>
  <c r="W315" i="8"/>
  <c r="V315" i="8"/>
  <c r="U315" i="8"/>
  <c r="T315" i="8"/>
  <c r="S315" i="8"/>
  <c r="P315" i="8"/>
  <c r="R315" i="8"/>
  <c r="Q315" i="8"/>
  <c r="O315" i="8"/>
  <c r="N315" i="8"/>
  <c r="M315" i="8"/>
  <c r="I315" i="8"/>
  <c r="Q310" i="8"/>
  <c r="P310" i="8"/>
  <c r="O310" i="8"/>
  <c r="N310" i="8"/>
  <c r="U310" i="8"/>
  <c r="T310" i="8"/>
  <c r="S310" i="8"/>
  <c r="R310" i="8"/>
  <c r="M310" i="8"/>
  <c r="L310" i="8"/>
  <c r="K310" i="8"/>
  <c r="J310" i="8"/>
  <c r="I310" i="8"/>
  <c r="H310" i="8"/>
  <c r="G310" i="8"/>
  <c r="F310" i="8"/>
  <c r="E310" i="8"/>
  <c r="D310" i="8"/>
  <c r="C310" i="8"/>
  <c r="V310" i="8"/>
  <c r="W310" i="8"/>
  <c r="B175" i="8"/>
  <c r="B178" i="8"/>
  <c r="B177" i="8"/>
  <c r="B168" i="8"/>
  <c r="B155" i="8"/>
  <c r="B164" i="8"/>
  <c r="B173" i="8"/>
  <c r="B170" i="8"/>
  <c r="B156" i="8"/>
  <c r="B161" i="8"/>
  <c r="B153" i="8"/>
  <c r="B174" i="8"/>
  <c r="B157" i="8"/>
  <c r="B158" i="8"/>
  <c r="B179" i="8"/>
  <c r="B167" i="8"/>
  <c r="B166" i="8"/>
  <c r="B180" i="8"/>
  <c r="B160" i="8"/>
  <c r="B176" i="8"/>
  <c r="B171" i="8"/>
  <c r="B159" i="8"/>
  <c r="B163" i="8"/>
  <c r="B181" i="8"/>
  <c r="B154" i="8"/>
  <c r="B172" i="8"/>
  <c r="B165" i="8"/>
  <c r="B162" i="8"/>
  <c r="B152" i="8"/>
  <c r="B169" i="8"/>
  <c r="E60" i="4"/>
  <c r="H60" i="4" s="1"/>
  <c r="K60" i="4" s="1"/>
  <c r="R121" i="8"/>
  <c r="AP121" i="8"/>
  <c r="T121" i="8"/>
  <c r="AO121" i="8"/>
  <c r="P121" i="8"/>
  <c r="AD121" i="8"/>
  <c r="AS121" i="8"/>
  <c r="AR121" i="8"/>
  <c r="AQ121" i="8"/>
  <c r="AE121" i="8"/>
  <c r="AA121" i="8"/>
  <c r="Z121" i="8"/>
  <c r="V121" i="8"/>
  <c r="N121" i="8"/>
  <c r="AT121" i="8"/>
  <c r="AC121" i="8"/>
  <c r="AB121" i="8"/>
  <c r="X121" i="8"/>
  <c r="Z102" i="8"/>
  <c r="J31" i="3"/>
  <c r="G82" i="4"/>
  <c r="D27" i="4"/>
  <c r="R27" i="4" s="1"/>
  <c r="E22" i="10" s="1"/>
  <c r="I82" i="4"/>
  <c r="D7" i="6"/>
  <c r="E7" i="6"/>
  <c r="G61" i="4"/>
  <c r="J61" i="4" s="1"/>
  <c r="M61" i="4" s="1"/>
  <c r="E62" i="4"/>
  <c r="H62" i="4" s="1"/>
  <c r="K62" i="4" s="1"/>
  <c r="G156" i="4"/>
  <c r="E108" i="4"/>
  <c r="G10" i="6"/>
  <c r="H10" i="6"/>
  <c r="M265" i="8"/>
  <c r="U298" i="8"/>
  <c r="G298" i="8"/>
  <c r="F298" i="8"/>
  <c r="E298" i="8"/>
  <c r="L298" i="8"/>
  <c r="K298" i="8"/>
  <c r="J298" i="8"/>
  <c r="I298" i="8"/>
  <c r="H298" i="8"/>
  <c r="D298" i="8"/>
  <c r="S298" i="8"/>
  <c r="R298" i="8"/>
  <c r="Q298" i="8"/>
  <c r="P298" i="8"/>
  <c r="O298" i="8"/>
  <c r="N298" i="8"/>
  <c r="M298" i="8"/>
  <c r="C298" i="8"/>
  <c r="W298" i="8"/>
  <c r="V298" i="8"/>
  <c r="T298" i="8"/>
  <c r="C22" i="8"/>
  <c r="C23" i="8" s="1"/>
  <c r="F56" i="4"/>
  <c r="I56" i="4" s="1"/>
  <c r="L56" i="4" s="1"/>
  <c r="H95" i="5"/>
  <c r="F95" i="5"/>
  <c r="C92" i="2"/>
  <c r="K79" i="3"/>
  <c r="J79" i="3"/>
  <c r="D95" i="5"/>
  <c r="B95" i="5"/>
  <c r="L92" i="2"/>
  <c r="C28" i="8"/>
  <c r="C27" i="8"/>
  <c r="Q280" i="8"/>
  <c r="C280" i="8"/>
  <c r="W280" i="8"/>
  <c r="V280" i="8"/>
  <c r="K280" i="8"/>
  <c r="J280" i="8"/>
  <c r="I280" i="8"/>
  <c r="H280" i="8"/>
  <c r="F280" i="8"/>
  <c r="E280" i="8"/>
  <c r="D280" i="8"/>
  <c r="N280" i="8"/>
  <c r="M280" i="8"/>
  <c r="L280" i="8"/>
  <c r="G280" i="8"/>
  <c r="U280" i="8"/>
  <c r="T280" i="8"/>
  <c r="S280" i="8"/>
  <c r="R280" i="8"/>
  <c r="P280" i="8"/>
  <c r="O280" i="8"/>
  <c r="F55" i="4"/>
  <c r="I55" i="4" s="1"/>
  <c r="L55" i="4" s="1"/>
  <c r="AR132" i="8"/>
  <c r="X132" i="8"/>
  <c r="AQ132" i="8"/>
  <c r="AT132" i="8"/>
  <c r="V132" i="8"/>
  <c r="AS132" i="8"/>
  <c r="AP132" i="8"/>
  <c r="T132" i="8"/>
  <c r="AO132" i="8"/>
  <c r="R132" i="8"/>
  <c r="P132" i="8"/>
  <c r="AE132" i="8"/>
  <c r="AB132" i="8"/>
  <c r="AA132" i="8"/>
  <c r="Z132" i="8"/>
  <c r="N132" i="8"/>
  <c r="AD132" i="8"/>
  <c r="AC132" i="8"/>
  <c r="AA102" i="8"/>
  <c r="N31" i="3"/>
  <c r="F109" i="4"/>
  <c r="G155" i="4"/>
  <c r="E10" i="6"/>
  <c r="D10" i="6"/>
  <c r="O311" i="8"/>
  <c r="P311" i="8"/>
  <c r="N311" i="8"/>
  <c r="M311" i="8"/>
  <c r="W311" i="8"/>
  <c r="V311" i="8"/>
  <c r="U311" i="8"/>
  <c r="T311" i="8"/>
  <c r="S311" i="8"/>
  <c r="R311" i="8"/>
  <c r="Q311" i="8"/>
  <c r="L311" i="8"/>
  <c r="K311" i="8"/>
  <c r="J311" i="8"/>
  <c r="I311" i="8"/>
  <c r="H311" i="8"/>
  <c r="G311" i="8"/>
  <c r="F311" i="8"/>
  <c r="E311" i="8"/>
  <c r="D311" i="8"/>
  <c r="C311" i="8"/>
  <c r="E276" i="8"/>
  <c r="G276" i="8"/>
  <c r="F276" i="8"/>
  <c r="D276" i="8"/>
  <c r="W276" i="8"/>
  <c r="V276" i="8"/>
  <c r="U276" i="8"/>
  <c r="T276" i="8"/>
  <c r="S276" i="8"/>
  <c r="R276" i="8"/>
  <c r="P276" i="8"/>
  <c r="O276" i="8"/>
  <c r="Q276" i="8"/>
  <c r="N276" i="8"/>
  <c r="M276" i="8"/>
  <c r="L276" i="8"/>
  <c r="K276" i="8"/>
  <c r="J276" i="8"/>
  <c r="I276" i="8"/>
  <c r="H276" i="8"/>
  <c r="C276" i="8"/>
  <c r="G63" i="4"/>
  <c r="J63" i="4" s="1"/>
  <c r="M63" i="4" s="1"/>
  <c r="F63" i="4"/>
  <c r="I63" i="4" s="1"/>
  <c r="L63" i="4" s="1"/>
  <c r="L30" i="3"/>
  <c r="H61" i="8"/>
  <c r="Y112" i="8" s="1"/>
  <c r="E56" i="4"/>
  <c r="H56" i="4" s="1"/>
  <c r="K56" i="4" s="1"/>
  <c r="R141" i="8"/>
  <c r="AB141" i="8"/>
  <c r="AA141" i="8"/>
  <c r="Z141" i="8"/>
  <c r="AT141" i="8"/>
  <c r="X141" i="8"/>
  <c r="AS141" i="8"/>
  <c r="AR141" i="8"/>
  <c r="V141" i="8"/>
  <c r="AQ141" i="8"/>
  <c r="P141" i="8"/>
  <c r="AP141" i="8"/>
  <c r="AO141" i="8"/>
  <c r="AE141" i="8"/>
  <c r="AD141" i="8"/>
  <c r="AC141" i="8"/>
  <c r="T141" i="8"/>
  <c r="N141" i="8"/>
  <c r="R102" i="8"/>
  <c r="AP107" i="8"/>
  <c r="V107" i="8"/>
  <c r="T107" i="8"/>
  <c r="N107" i="8"/>
  <c r="AC107" i="8"/>
  <c r="Z107" i="8"/>
  <c r="X107" i="8"/>
  <c r="R107" i="8"/>
  <c r="AT107" i="8"/>
  <c r="AS107" i="8"/>
  <c r="P107" i="8"/>
  <c r="AR107" i="8"/>
  <c r="AO107" i="8"/>
  <c r="AE107" i="8"/>
  <c r="AD107" i="8"/>
  <c r="AA107" i="8"/>
  <c r="AQ107" i="8"/>
  <c r="AB107" i="8"/>
  <c r="R31" i="3"/>
  <c r="F93" i="2" l="1"/>
  <c r="G92" i="2"/>
  <c r="F92" i="2"/>
  <c r="G90" i="2"/>
  <c r="F90" i="2"/>
  <c r="G89" i="2"/>
  <c r="F88" i="2"/>
  <c r="F87" i="2"/>
  <c r="K84" i="4"/>
  <c r="Q252" i="8"/>
  <c r="R252" i="8"/>
  <c r="J252" i="8"/>
  <c r="U252" i="8"/>
  <c r="W252" i="8"/>
  <c r="V252" i="8"/>
  <c r="M270" i="8"/>
  <c r="C252" i="8"/>
  <c r="D252" i="8"/>
  <c r="O249" i="8"/>
  <c r="E252" i="8"/>
  <c r="I252" i="8"/>
  <c r="N252" i="8"/>
  <c r="M251" i="8"/>
  <c r="S252" i="8"/>
  <c r="T252" i="8"/>
  <c r="F252" i="8"/>
  <c r="G252" i="8"/>
  <c r="H252" i="8"/>
  <c r="J267" i="8"/>
  <c r="K252" i="8"/>
  <c r="J251" i="8"/>
  <c r="L252" i="8"/>
  <c r="M252" i="8"/>
  <c r="M247" i="8"/>
  <c r="O252" i="8"/>
  <c r="N68" i="4"/>
  <c r="J241" i="8"/>
  <c r="M241" i="8"/>
  <c r="M261" i="8"/>
  <c r="N66" i="4"/>
  <c r="O240" i="8"/>
  <c r="E251" i="8"/>
  <c r="J247" i="8"/>
  <c r="Q245" i="8"/>
  <c r="N245" i="8"/>
  <c r="M245" i="8"/>
  <c r="J245" i="8"/>
  <c r="W127" i="8"/>
  <c r="M234" i="8"/>
  <c r="H245" i="8"/>
  <c r="O67" i="4"/>
  <c r="L246" i="8"/>
  <c r="K82" i="4"/>
  <c r="I244" i="8"/>
  <c r="K240" i="8"/>
  <c r="S245" i="8"/>
  <c r="G245" i="8"/>
  <c r="Q249" i="8"/>
  <c r="D245" i="8"/>
  <c r="F245" i="8"/>
  <c r="I245" i="8"/>
  <c r="L245" i="8"/>
  <c r="C245" i="8"/>
  <c r="O233" i="8"/>
  <c r="W233" i="8"/>
  <c r="M233" i="8"/>
  <c r="J233" i="8"/>
  <c r="W245" i="8"/>
  <c r="N240" i="8"/>
  <c r="V245" i="8"/>
  <c r="T239" i="8"/>
  <c r="U245" i="8"/>
  <c r="E245" i="8"/>
  <c r="P245" i="8"/>
  <c r="K245" i="8"/>
  <c r="T245" i="8"/>
  <c r="R245" i="8"/>
  <c r="U233" i="8"/>
  <c r="I251" i="8"/>
  <c r="P241" i="8"/>
  <c r="C241" i="8"/>
  <c r="D244" i="8"/>
  <c r="C244" i="8"/>
  <c r="W241" i="8"/>
  <c r="J235" i="8"/>
  <c r="G244" i="8"/>
  <c r="J240" i="8"/>
  <c r="R244" i="8"/>
  <c r="M240" i="8"/>
  <c r="W244" i="8"/>
  <c r="L244" i="8"/>
  <c r="M244" i="8"/>
  <c r="E240" i="8"/>
  <c r="O244" i="8"/>
  <c r="F241" i="8"/>
  <c r="J244" i="8"/>
  <c r="E30" i="4"/>
  <c r="S30" i="4" s="1"/>
  <c r="F25" i="10" s="1"/>
  <c r="J85" i="4"/>
  <c r="K85" i="4" s="1"/>
  <c r="H85" i="4"/>
  <c r="M243" i="8"/>
  <c r="O243" i="8"/>
  <c r="S247" i="8"/>
  <c r="S243" i="8"/>
  <c r="H79" i="4"/>
  <c r="J79" i="4"/>
  <c r="K79" i="4" s="1"/>
  <c r="E24" i="4"/>
  <c r="S24" i="4" s="1"/>
  <c r="F19" i="10" s="1"/>
  <c r="H240" i="8"/>
  <c r="P240" i="8"/>
  <c r="H243" i="8"/>
  <c r="Q240" i="8"/>
  <c r="E25" i="4"/>
  <c r="S25" i="4" s="1"/>
  <c r="F20" i="10" s="1"/>
  <c r="J80" i="4"/>
  <c r="K80" i="4" s="1"/>
  <c r="H80" i="4"/>
  <c r="L233" i="8"/>
  <c r="T241" i="8"/>
  <c r="C239" i="8"/>
  <c r="W239" i="8"/>
  <c r="D239" i="8"/>
  <c r="F239" i="8"/>
  <c r="G239" i="8"/>
  <c r="H239" i="8"/>
  <c r="E239" i="8"/>
  <c r="J239" i="8"/>
  <c r="I239" i="8"/>
  <c r="K239" i="8"/>
  <c r="L239" i="8"/>
  <c r="M239" i="8"/>
  <c r="M268" i="8"/>
  <c r="N239" i="8"/>
  <c r="O239" i="8"/>
  <c r="P239" i="8"/>
  <c r="Q239" i="8"/>
  <c r="R239" i="8"/>
  <c r="U239" i="8"/>
  <c r="S241" i="8"/>
  <c r="V239" i="8"/>
  <c r="H261" i="8"/>
  <c r="R241" i="8"/>
  <c r="R243" i="8"/>
  <c r="M238" i="8"/>
  <c r="D268" i="8"/>
  <c r="M258" i="8"/>
  <c r="Q141" i="8"/>
  <c r="J238" i="8"/>
  <c r="D240" i="8"/>
  <c r="E244" i="8"/>
  <c r="D241" i="8"/>
  <c r="W116" i="8"/>
  <c r="W122" i="8"/>
  <c r="W139" i="8"/>
  <c r="O264" i="8"/>
  <c r="T264" i="8"/>
  <c r="W137" i="8"/>
  <c r="V251" i="8"/>
  <c r="M236" i="8"/>
  <c r="G251" i="8"/>
  <c r="K264" i="8"/>
  <c r="M264" i="8"/>
  <c r="R251" i="8"/>
  <c r="J264" i="8"/>
  <c r="W251" i="8"/>
  <c r="E264" i="8"/>
  <c r="D264" i="8"/>
  <c r="F264" i="8"/>
  <c r="W108" i="8"/>
  <c r="W114" i="8"/>
  <c r="P251" i="8"/>
  <c r="C264" i="8"/>
  <c r="E233" i="8"/>
  <c r="W115" i="8"/>
  <c r="W128" i="8"/>
  <c r="Q244" i="8"/>
  <c r="T251" i="8"/>
  <c r="R264" i="8"/>
  <c r="V244" i="8"/>
  <c r="K251" i="8"/>
  <c r="W117" i="8"/>
  <c r="O251" i="8"/>
  <c r="S269" i="8"/>
  <c r="E238" i="8"/>
  <c r="W133" i="8"/>
  <c r="S251" i="8"/>
  <c r="N233" i="8"/>
  <c r="R238" i="8"/>
  <c r="F244" i="8"/>
  <c r="V238" i="8"/>
  <c r="W132" i="8"/>
  <c r="W105" i="8"/>
  <c r="W107" i="8"/>
  <c r="W141" i="8"/>
  <c r="W118" i="8"/>
  <c r="W131" i="8"/>
  <c r="W120" i="8"/>
  <c r="E243" i="8"/>
  <c r="U244" i="8"/>
  <c r="W112" i="8"/>
  <c r="N251" i="8"/>
  <c r="O268" i="8"/>
  <c r="T244" i="8"/>
  <c r="G242" i="8"/>
  <c r="H242" i="8"/>
  <c r="T247" i="8"/>
  <c r="U121" i="8"/>
  <c r="V241" i="8"/>
  <c r="V247" i="8"/>
  <c r="R240" i="8"/>
  <c r="U137" i="8"/>
  <c r="N241" i="8"/>
  <c r="U141" i="8"/>
  <c r="H244" i="8"/>
  <c r="R247" i="8"/>
  <c r="G240" i="8"/>
  <c r="H233" i="8"/>
  <c r="M250" i="8"/>
  <c r="W250" i="8"/>
  <c r="L250" i="8"/>
  <c r="U250" i="8"/>
  <c r="J250" i="8"/>
  <c r="P260" i="8"/>
  <c r="O250" i="8"/>
  <c r="M248" i="8"/>
  <c r="M259" i="8"/>
  <c r="D250" i="8"/>
  <c r="K241" i="8"/>
  <c r="V250" i="8"/>
  <c r="O234" i="8"/>
  <c r="J260" i="8"/>
  <c r="P234" i="8"/>
  <c r="S244" i="8"/>
  <c r="K244" i="8"/>
  <c r="L240" i="8"/>
  <c r="N244" i="8"/>
  <c r="H249" i="8"/>
  <c r="T240" i="8"/>
  <c r="I233" i="8"/>
  <c r="M266" i="8"/>
  <c r="Q117" i="8"/>
  <c r="Q264" i="8"/>
  <c r="J269" i="8"/>
  <c r="V268" i="8"/>
  <c r="O266" i="8"/>
  <c r="W268" i="8"/>
  <c r="G264" i="8"/>
  <c r="Q120" i="8"/>
  <c r="F135" i="4"/>
  <c r="B136" i="4"/>
  <c r="V233" i="8"/>
  <c r="U243" i="8"/>
  <c r="W264" i="8"/>
  <c r="Q107" i="8"/>
  <c r="N264" i="8"/>
  <c r="Q269" i="8"/>
  <c r="C250" i="8"/>
  <c r="N243" i="8"/>
  <c r="Q234" i="8"/>
  <c r="I234" i="8"/>
  <c r="E250" i="8"/>
  <c r="U241" i="8"/>
  <c r="I241" i="8"/>
  <c r="Q132" i="8"/>
  <c r="I240" i="8"/>
  <c r="O241" i="8"/>
  <c r="N250" i="8"/>
  <c r="J236" i="8"/>
  <c r="I264" i="8"/>
  <c r="W243" i="8"/>
  <c r="G268" i="8"/>
  <c r="E241" i="8"/>
  <c r="W240" i="8"/>
  <c r="H241" i="8"/>
  <c r="D32" i="8"/>
  <c r="J243" i="8"/>
  <c r="N268" i="8"/>
  <c r="S264" i="8"/>
  <c r="G241" i="8"/>
  <c r="L241" i="8"/>
  <c r="I250" i="8"/>
  <c r="P249" i="8"/>
  <c r="D235" i="8"/>
  <c r="W249" i="8"/>
  <c r="M249" i="8"/>
  <c r="N249" i="8"/>
  <c r="U249" i="8"/>
  <c r="L249" i="8"/>
  <c r="C249" i="8"/>
  <c r="Q233" i="8"/>
  <c r="K238" i="8"/>
  <c r="U105" i="8"/>
  <c r="F249" i="8"/>
  <c r="C235" i="8"/>
  <c r="Q243" i="8"/>
  <c r="U132" i="8"/>
  <c r="H235" i="8"/>
  <c r="U107" i="8"/>
  <c r="Q105" i="8"/>
  <c r="J32" i="8"/>
  <c r="J33" i="8" s="1"/>
  <c r="V249" i="8"/>
  <c r="P243" i="8"/>
  <c r="M235" i="8"/>
  <c r="O269" i="8"/>
  <c r="G233" i="8"/>
  <c r="W235" i="8"/>
  <c r="K233" i="8"/>
  <c r="F267" i="8"/>
  <c r="E249" i="8"/>
  <c r="H247" i="8"/>
  <c r="F235" i="8"/>
  <c r="U235" i="8"/>
  <c r="K235" i="8"/>
  <c r="V235" i="8"/>
  <c r="I249" i="8"/>
  <c r="R235" i="8"/>
  <c r="D233" i="8"/>
  <c r="L235" i="8"/>
  <c r="T233" i="8"/>
  <c r="I243" i="8"/>
  <c r="F234" i="8"/>
  <c r="J249" i="8"/>
  <c r="T235" i="8"/>
  <c r="K249" i="8"/>
  <c r="G250" i="8"/>
  <c r="O236" i="8"/>
  <c r="W236" i="8"/>
  <c r="I236" i="8"/>
  <c r="U236" i="8"/>
  <c r="G243" i="8"/>
  <c r="D243" i="8"/>
  <c r="F243" i="8"/>
  <c r="H236" i="8"/>
  <c r="O260" i="8"/>
  <c r="Q134" i="8"/>
  <c r="S235" i="8"/>
  <c r="E260" i="8"/>
  <c r="L260" i="8"/>
  <c r="C243" i="8"/>
  <c r="O235" i="8"/>
  <c r="Q250" i="8"/>
  <c r="P235" i="8"/>
  <c r="Q236" i="8"/>
  <c r="K236" i="8"/>
  <c r="L243" i="8"/>
  <c r="P236" i="8"/>
  <c r="E236" i="8"/>
  <c r="Q235" i="8"/>
  <c r="S267" i="8"/>
  <c r="T250" i="8"/>
  <c r="H250" i="8"/>
  <c r="F250" i="8"/>
  <c r="Q112" i="8"/>
  <c r="G263" i="8"/>
  <c r="E256" i="8"/>
  <c r="V236" i="8"/>
  <c r="D249" i="8"/>
  <c r="T243" i="8"/>
  <c r="V264" i="8"/>
  <c r="K243" i="8"/>
  <c r="P250" i="8"/>
  <c r="L251" i="8"/>
  <c r="R249" i="8"/>
  <c r="T249" i="8"/>
  <c r="I235" i="8"/>
  <c r="S249" i="8"/>
  <c r="R250" i="8"/>
  <c r="U118" i="8"/>
  <c r="Q122" i="8"/>
  <c r="E242" i="8"/>
  <c r="D251" i="8"/>
  <c r="L266" i="8"/>
  <c r="R234" i="8"/>
  <c r="S250" i="8"/>
  <c r="S233" i="8"/>
  <c r="C233" i="8"/>
  <c r="F233" i="8"/>
  <c r="E235" i="8"/>
  <c r="N235" i="8"/>
  <c r="J255" i="8"/>
  <c r="M255" i="8"/>
  <c r="H267" i="8"/>
  <c r="T267" i="8"/>
  <c r="R267" i="8"/>
  <c r="D267" i="8"/>
  <c r="E267" i="8"/>
  <c r="V267" i="8"/>
  <c r="H251" i="8"/>
  <c r="C267" i="8"/>
  <c r="O255" i="8"/>
  <c r="M267" i="8"/>
  <c r="U134" i="8"/>
  <c r="E261" i="8"/>
  <c r="U131" i="8"/>
  <c r="M253" i="8"/>
  <c r="U116" i="8"/>
  <c r="O263" i="8"/>
  <c r="G267" i="8"/>
  <c r="P267" i="8"/>
  <c r="V234" i="8"/>
  <c r="H264" i="8"/>
  <c r="K247" i="8"/>
  <c r="C247" i="8"/>
  <c r="N247" i="8"/>
  <c r="L247" i="8"/>
  <c r="G247" i="8"/>
  <c r="U247" i="8"/>
  <c r="W247" i="8"/>
  <c r="E247" i="8"/>
  <c r="D247" i="8"/>
  <c r="Q247" i="8"/>
  <c r="F247" i="8"/>
  <c r="P247" i="8"/>
  <c r="I247" i="8"/>
  <c r="U133" i="8"/>
  <c r="U128" i="8"/>
  <c r="U267" i="8"/>
  <c r="S240" i="8"/>
  <c r="V240" i="8"/>
  <c r="U240" i="8"/>
  <c r="C240" i="8"/>
  <c r="Q115" i="8"/>
  <c r="Q137" i="8"/>
  <c r="Q116" i="8"/>
  <c r="U264" i="8"/>
  <c r="U127" i="8"/>
  <c r="K267" i="8"/>
  <c r="N267" i="8"/>
  <c r="I253" i="8"/>
  <c r="W267" i="8"/>
  <c r="P233" i="8"/>
  <c r="L264" i="8"/>
  <c r="J246" i="8"/>
  <c r="V271" i="8"/>
  <c r="I271" i="8"/>
  <c r="H257" i="8"/>
  <c r="M246" i="8"/>
  <c r="D257" i="8"/>
  <c r="H271" i="8"/>
  <c r="D271" i="8"/>
  <c r="K257" i="8"/>
  <c r="F257" i="8"/>
  <c r="P246" i="8"/>
  <c r="M257" i="8"/>
  <c r="O271" i="8"/>
  <c r="U257" i="8"/>
  <c r="I257" i="8"/>
  <c r="W238" i="8"/>
  <c r="U238" i="8"/>
  <c r="U269" i="8"/>
  <c r="K269" i="8"/>
  <c r="P269" i="8"/>
  <c r="F269" i="8"/>
  <c r="D269" i="8"/>
  <c r="E269" i="8"/>
  <c r="G269" i="8"/>
  <c r="I269" i="8"/>
  <c r="V269" i="8"/>
  <c r="E257" i="8"/>
  <c r="R257" i="8"/>
  <c r="Q257" i="8"/>
  <c r="W257" i="8"/>
  <c r="V246" i="8"/>
  <c r="L257" i="8"/>
  <c r="V257" i="8"/>
  <c r="L236" i="8"/>
  <c r="F236" i="8"/>
  <c r="W271" i="8"/>
  <c r="K271" i="8"/>
  <c r="S271" i="8"/>
  <c r="T269" i="8"/>
  <c r="E268" i="8"/>
  <c r="F238" i="8"/>
  <c r="I268" i="8"/>
  <c r="P271" i="8"/>
  <c r="K268" i="8"/>
  <c r="G262" i="8"/>
  <c r="K262" i="8"/>
  <c r="M262" i="8"/>
  <c r="R262" i="8"/>
  <c r="D262" i="8"/>
  <c r="E262" i="8"/>
  <c r="I262" i="8"/>
  <c r="T262" i="8"/>
  <c r="Q262" i="8"/>
  <c r="S262" i="8"/>
  <c r="L262" i="8"/>
  <c r="P262" i="8"/>
  <c r="H262" i="8"/>
  <c r="N262" i="8"/>
  <c r="E246" i="8"/>
  <c r="G271" i="8"/>
  <c r="T257" i="8"/>
  <c r="F246" i="8"/>
  <c r="P266" i="8"/>
  <c r="G236" i="8"/>
  <c r="F262" i="8"/>
  <c r="F268" i="8"/>
  <c r="U268" i="8"/>
  <c r="W269" i="8"/>
  <c r="G246" i="8"/>
  <c r="J261" i="8"/>
  <c r="R261" i="8"/>
  <c r="S236" i="8"/>
  <c r="N236" i="8"/>
  <c r="C261" i="8"/>
  <c r="S238" i="8"/>
  <c r="O238" i="8"/>
  <c r="S268" i="8"/>
  <c r="F251" i="8"/>
  <c r="C251" i="8"/>
  <c r="U251" i="8"/>
  <c r="O107" i="8"/>
  <c r="I246" i="8"/>
  <c r="G261" i="8"/>
  <c r="T271" i="8"/>
  <c r="H268" i="8"/>
  <c r="K246" i="8"/>
  <c r="E271" i="8"/>
  <c r="S246" i="8"/>
  <c r="M269" i="8"/>
  <c r="D236" i="8"/>
  <c r="R236" i="8"/>
  <c r="U262" i="8"/>
  <c r="C262" i="8"/>
  <c r="G238" i="8"/>
  <c r="Q267" i="8"/>
  <c r="T238" i="8"/>
  <c r="U246" i="8"/>
  <c r="J271" i="8"/>
  <c r="L271" i="8"/>
  <c r="H269" i="8"/>
  <c r="N269" i="8"/>
  <c r="D238" i="8"/>
  <c r="T246" i="8"/>
  <c r="C266" i="8"/>
  <c r="K266" i="8"/>
  <c r="V262" i="8"/>
  <c r="C268" i="8"/>
  <c r="I238" i="8"/>
  <c r="Q238" i="8"/>
  <c r="W246" i="8"/>
  <c r="Q261" i="8"/>
  <c r="R269" i="8"/>
  <c r="O257" i="8"/>
  <c r="L238" i="8"/>
  <c r="P238" i="8"/>
  <c r="C246" i="8"/>
  <c r="C236" i="8"/>
  <c r="O262" i="8"/>
  <c r="U271" i="8"/>
  <c r="C257" i="8"/>
  <c r="Q271" i="8"/>
  <c r="J262" i="8"/>
  <c r="C271" i="8"/>
  <c r="N271" i="8"/>
  <c r="P257" i="8"/>
  <c r="D246" i="8"/>
  <c r="M271" i="8"/>
  <c r="R268" i="8"/>
  <c r="T268" i="8"/>
  <c r="L269" i="8"/>
  <c r="G257" i="8"/>
  <c r="U234" i="8"/>
  <c r="C234" i="8"/>
  <c r="S234" i="8"/>
  <c r="W234" i="8"/>
  <c r="L234" i="8"/>
  <c r="N234" i="8"/>
  <c r="K234" i="8"/>
  <c r="T234" i="8"/>
  <c r="H234" i="8"/>
  <c r="E234" i="8"/>
  <c r="D234" i="8"/>
  <c r="M254" i="8"/>
  <c r="J257" i="8"/>
  <c r="J254" i="8"/>
  <c r="H246" i="8"/>
  <c r="J268" i="8"/>
  <c r="H238" i="8"/>
  <c r="W262" i="8"/>
  <c r="S257" i="8"/>
  <c r="Q268" i="8"/>
  <c r="R271" i="8"/>
  <c r="L268" i="8"/>
  <c r="L267" i="8"/>
  <c r="O267" i="8"/>
  <c r="N238" i="8"/>
  <c r="G234" i="8"/>
  <c r="J256" i="8"/>
  <c r="T261" i="8"/>
  <c r="L261" i="8"/>
  <c r="S261" i="8"/>
  <c r="F32" i="8"/>
  <c r="C255" i="8"/>
  <c r="H255" i="8"/>
  <c r="D255" i="8"/>
  <c r="W255" i="8"/>
  <c r="U255" i="8"/>
  <c r="I255" i="8"/>
  <c r="G255" i="8"/>
  <c r="V255" i="8"/>
  <c r="S255" i="8"/>
  <c r="F255" i="8"/>
  <c r="T255" i="8"/>
  <c r="L255" i="8"/>
  <c r="N255" i="8"/>
  <c r="I263" i="8"/>
  <c r="W113" i="8"/>
  <c r="Q246" i="8"/>
  <c r="O256" i="8"/>
  <c r="R260" i="8"/>
  <c r="D261" i="8"/>
  <c r="W261" i="8"/>
  <c r="U115" i="8"/>
  <c r="N253" i="8"/>
  <c r="H263" i="8"/>
  <c r="E266" i="8"/>
  <c r="D260" i="8"/>
  <c r="V260" i="8"/>
  <c r="V261" i="8"/>
  <c r="W253" i="8"/>
  <c r="K263" i="8"/>
  <c r="K261" i="8"/>
  <c r="Q255" i="8"/>
  <c r="K255" i="8"/>
  <c r="Q266" i="8"/>
  <c r="H266" i="8"/>
  <c r="U139" i="8"/>
  <c r="P261" i="8"/>
  <c r="O253" i="8"/>
  <c r="P255" i="8"/>
  <c r="R255" i="8"/>
  <c r="U129" i="8"/>
  <c r="U122" i="8"/>
  <c r="N246" i="8"/>
  <c r="N266" i="8"/>
  <c r="O261" i="8"/>
  <c r="J65" i="8"/>
  <c r="J66" i="8" s="1"/>
  <c r="W129" i="8"/>
  <c r="W125" i="8"/>
  <c r="O246" i="8"/>
  <c r="W124" i="8"/>
  <c r="R256" i="8"/>
  <c r="I256" i="8"/>
  <c r="F261" i="8"/>
  <c r="R263" i="8"/>
  <c r="T143" i="8"/>
  <c r="F57" i="8" s="1"/>
  <c r="F92" i="8" s="1"/>
  <c r="U117" i="8"/>
  <c r="I261" i="8"/>
  <c r="U261" i="8"/>
  <c r="W242" i="8"/>
  <c r="L237" i="8"/>
  <c r="U254" i="8"/>
  <c r="I254" i="8"/>
  <c r="O115" i="8"/>
  <c r="O131" i="8"/>
  <c r="D242" i="8"/>
  <c r="C237" i="8"/>
  <c r="K254" i="8"/>
  <c r="W272" i="8"/>
  <c r="T272" i="8"/>
  <c r="H272" i="8"/>
  <c r="U272" i="8"/>
  <c r="L272" i="8"/>
  <c r="G272" i="8"/>
  <c r="E272" i="8"/>
  <c r="R272" i="8"/>
  <c r="V272" i="8"/>
  <c r="S272" i="8"/>
  <c r="P272" i="8"/>
  <c r="Q272" i="8"/>
  <c r="F272" i="8"/>
  <c r="D272" i="8"/>
  <c r="O272" i="8"/>
  <c r="N272" i="8"/>
  <c r="K272" i="8"/>
  <c r="C272" i="8"/>
  <c r="I272" i="8"/>
  <c r="O122" i="8"/>
  <c r="D23" i="8"/>
  <c r="D83" i="8" s="1"/>
  <c r="D84" i="8" s="1"/>
  <c r="F242" i="8"/>
  <c r="T237" i="8"/>
  <c r="R237" i="8"/>
  <c r="C256" i="8"/>
  <c r="V256" i="8"/>
  <c r="W256" i="8"/>
  <c r="S256" i="8"/>
  <c r="U256" i="8"/>
  <c r="N256" i="8"/>
  <c r="T256" i="8"/>
  <c r="L256" i="8"/>
  <c r="K256" i="8"/>
  <c r="C242" i="8"/>
  <c r="N61" i="4"/>
  <c r="F253" i="8"/>
  <c r="Q237" i="8"/>
  <c r="F259" i="8"/>
  <c r="S259" i="8"/>
  <c r="E259" i="8"/>
  <c r="C259" i="8"/>
  <c r="N259" i="8"/>
  <c r="D259" i="8"/>
  <c r="L259" i="8"/>
  <c r="K259" i="8"/>
  <c r="P259" i="8"/>
  <c r="I259" i="8"/>
  <c r="R259" i="8"/>
  <c r="G259" i="8"/>
  <c r="U259" i="8"/>
  <c r="V259" i="8"/>
  <c r="Q259" i="8"/>
  <c r="O259" i="8"/>
  <c r="W259" i="8"/>
  <c r="T259" i="8"/>
  <c r="H259" i="8"/>
  <c r="R266" i="8"/>
  <c r="G266" i="8"/>
  <c r="F266" i="8"/>
  <c r="O127" i="8"/>
  <c r="S254" i="8"/>
  <c r="P242" i="8"/>
  <c r="Q254" i="8"/>
  <c r="O254" i="8"/>
  <c r="I237" i="8"/>
  <c r="C254" i="8"/>
  <c r="G258" i="8"/>
  <c r="D258" i="8"/>
  <c r="O258" i="8"/>
  <c r="I258" i="8"/>
  <c r="F258" i="8"/>
  <c r="C258" i="8"/>
  <c r="E258" i="8"/>
  <c r="H258" i="8"/>
  <c r="P258" i="8"/>
  <c r="N258" i="8"/>
  <c r="S258" i="8"/>
  <c r="R258" i="8"/>
  <c r="V258" i="8"/>
  <c r="Q258" i="8"/>
  <c r="W258" i="8"/>
  <c r="U258" i="8"/>
  <c r="T258" i="8"/>
  <c r="L258" i="8"/>
  <c r="K258" i="8"/>
  <c r="C263" i="8"/>
  <c r="U263" i="8"/>
  <c r="N263" i="8"/>
  <c r="L263" i="8"/>
  <c r="R242" i="8"/>
  <c r="J237" i="8"/>
  <c r="N254" i="8"/>
  <c r="W263" i="8"/>
  <c r="N248" i="8"/>
  <c r="I248" i="8"/>
  <c r="E248" i="8"/>
  <c r="L248" i="8"/>
  <c r="H248" i="8"/>
  <c r="C248" i="8"/>
  <c r="K248" i="8"/>
  <c r="G248" i="8"/>
  <c r="F248" i="8"/>
  <c r="W248" i="8"/>
  <c r="V248" i="8"/>
  <c r="D248" i="8"/>
  <c r="R248" i="8"/>
  <c r="P248" i="8"/>
  <c r="U248" i="8"/>
  <c r="Q248" i="8"/>
  <c r="O248" i="8"/>
  <c r="S248" i="8"/>
  <c r="T248" i="8"/>
  <c r="T260" i="8"/>
  <c r="G260" i="8"/>
  <c r="I260" i="8"/>
  <c r="H260" i="8"/>
  <c r="O137" i="8"/>
  <c r="T242" i="8"/>
  <c r="Q242" i="8"/>
  <c r="P254" i="8"/>
  <c r="H256" i="8"/>
  <c r="V253" i="8"/>
  <c r="U270" i="8"/>
  <c r="L270" i="8"/>
  <c r="T270" i="8"/>
  <c r="C270" i="8"/>
  <c r="I270" i="8"/>
  <c r="V270" i="8"/>
  <c r="N270" i="8"/>
  <c r="R270" i="8"/>
  <c r="H270" i="8"/>
  <c r="K270" i="8"/>
  <c r="G270" i="8"/>
  <c r="F270" i="8"/>
  <c r="S270" i="8"/>
  <c r="E270" i="8"/>
  <c r="Q270" i="8"/>
  <c r="P270" i="8"/>
  <c r="O270" i="8"/>
  <c r="D270" i="8"/>
  <c r="W270" i="8"/>
  <c r="O118" i="8"/>
  <c r="Q118" i="8"/>
  <c r="F40" i="8"/>
  <c r="K242" i="8"/>
  <c r="J263" i="8"/>
  <c r="W106" i="8"/>
  <c r="W237" i="8"/>
  <c r="E254" i="8"/>
  <c r="N237" i="8"/>
  <c r="T263" i="8"/>
  <c r="H253" i="8"/>
  <c r="O116" i="8"/>
  <c r="Q121" i="8"/>
  <c r="L242" i="8"/>
  <c r="W130" i="8"/>
  <c r="F256" i="8"/>
  <c r="W260" i="8"/>
  <c r="U266" i="8"/>
  <c r="E263" i="8"/>
  <c r="N242" i="8"/>
  <c r="S138" i="8"/>
  <c r="P256" i="8"/>
  <c r="C253" i="8"/>
  <c r="L254" i="8"/>
  <c r="D237" i="8"/>
  <c r="U237" i="8"/>
  <c r="S237" i="8"/>
  <c r="T254" i="8"/>
  <c r="S253" i="8"/>
  <c r="R253" i="8"/>
  <c r="Q253" i="8"/>
  <c r="P253" i="8"/>
  <c r="Q114" i="8"/>
  <c r="O242" i="8"/>
  <c r="O105" i="8"/>
  <c r="Q139" i="8"/>
  <c r="Q128" i="8"/>
  <c r="Q125" i="8"/>
  <c r="M242" i="8"/>
  <c r="S260" i="8"/>
  <c r="V237" i="8"/>
  <c r="G253" i="8"/>
  <c r="K237" i="8"/>
  <c r="U260" i="8"/>
  <c r="I266" i="8"/>
  <c r="S266" i="8"/>
  <c r="O237" i="8"/>
  <c r="M263" i="8"/>
  <c r="S242" i="8"/>
  <c r="L253" i="8"/>
  <c r="T266" i="8"/>
  <c r="P237" i="8"/>
  <c r="D254" i="8"/>
  <c r="H254" i="8"/>
  <c r="G254" i="8"/>
  <c r="O117" i="8"/>
  <c r="D40" i="8"/>
  <c r="Y141" i="8"/>
  <c r="O121" i="8"/>
  <c r="D48" i="8"/>
  <c r="Q108" i="8"/>
  <c r="Q135" i="8"/>
  <c r="V242" i="8"/>
  <c r="M237" i="8"/>
  <c r="R254" i="8"/>
  <c r="F237" i="8"/>
  <c r="E237" i="8"/>
  <c r="D263" i="8"/>
  <c r="F263" i="8"/>
  <c r="Q263" i="8"/>
  <c r="D256" i="8"/>
  <c r="V263" i="8"/>
  <c r="N260" i="8"/>
  <c r="O132" i="8"/>
  <c r="V254" i="8"/>
  <c r="I242" i="8"/>
  <c r="Q133" i="8"/>
  <c r="S135" i="8"/>
  <c r="S112" i="8"/>
  <c r="J242" i="8"/>
  <c r="W140" i="8"/>
  <c r="J266" i="8"/>
  <c r="M272" i="8"/>
  <c r="Q260" i="8"/>
  <c r="G256" i="8"/>
  <c r="C260" i="8"/>
  <c r="W266" i="8"/>
  <c r="K260" i="8"/>
  <c r="T253" i="8"/>
  <c r="O141" i="8"/>
  <c r="O134" i="8"/>
  <c r="E178" i="8"/>
  <c r="E180" i="8" s="1"/>
  <c r="N143" i="8"/>
  <c r="C57" i="8" s="1"/>
  <c r="R25" i="3" s="1"/>
  <c r="AB143" i="8"/>
  <c r="K57" i="8" s="1"/>
  <c r="I12" i="7" s="1"/>
  <c r="W121" i="8"/>
  <c r="W134" i="8"/>
  <c r="Q131" i="8"/>
  <c r="U108" i="8"/>
  <c r="S129" i="8"/>
  <c r="U113" i="8"/>
  <c r="W135" i="8"/>
  <c r="M260" i="8"/>
  <c r="J253" i="8"/>
  <c r="Q256" i="8"/>
  <c r="K253" i="8"/>
  <c r="V266" i="8"/>
  <c r="D253" i="8"/>
  <c r="H237" i="8"/>
  <c r="P263" i="8"/>
  <c r="E253" i="8"/>
  <c r="F254" i="8"/>
  <c r="S115" i="8"/>
  <c r="S141" i="8"/>
  <c r="S113" i="8"/>
  <c r="S114" i="8"/>
  <c r="S140" i="8"/>
  <c r="S118" i="8"/>
  <c r="B86" i="3"/>
  <c r="S128" i="8"/>
  <c r="S120" i="8"/>
  <c r="C32" i="8"/>
  <c r="C33" i="8" s="1"/>
  <c r="S137" i="8"/>
  <c r="AO143" i="8"/>
  <c r="C97" i="8" s="1"/>
  <c r="C98" i="8" s="1"/>
  <c r="C99" i="8" s="1"/>
  <c r="Z25" i="3" s="1"/>
  <c r="O62" i="4"/>
  <c r="S103" i="8"/>
  <c r="S107" i="8"/>
  <c r="S117" i="8"/>
  <c r="W104" i="8"/>
  <c r="C316" i="8"/>
  <c r="C317" i="8" s="1"/>
  <c r="S132" i="8"/>
  <c r="L168" i="8"/>
  <c r="L217" i="8" s="1"/>
  <c r="S105" i="8"/>
  <c r="U112" i="8"/>
  <c r="E32" i="8"/>
  <c r="E33" i="8" s="1"/>
  <c r="AE143" i="8"/>
  <c r="L90" i="8" s="1"/>
  <c r="K13" i="7" s="1"/>
  <c r="AP143" i="8"/>
  <c r="D97" i="8" s="1"/>
  <c r="Y26" i="3" s="1"/>
  <c r="AQ143" i="8"/>
  <c r="E97" i="8" s="1"/>
  <c r="E98" i="8" s="1"/>
  <c r="E99" i="8" s="1"/>
  <c r="Z27" i="3" s="1"/>
  <c r="S121" i="8"/>
  <c r="S134" i="8"/>
  <c r="O133" i="8"/>
  <c r="S116" i="8"/>
  <c r="Q113" i="8"/>
  <c r="S139" i="8"/>
  <c r="S122" i="8"/>
  <c r="W111" i="8"/>
  <c r="AR143" i="8"/>
  <c r="F97" i="8" s="1"/>
  <c r="F98" i="8" s="1"/>
  <c r="F99" i="8" s="1"/>
  <c r="Z28" i="3" s="1"/>
  <c r="U125" i="8"/>
  <c r="W103" i="8"/>
  <c r="S130" i="8"/>
  <c r="S131" i="8"/>
  <c r="S133" i="8"/>
  <c r="S127" i="8"/>
  <c r="S108" i="8"/>
  <c r="W138" i="8"/>
  <c r="S119" i="8"/>
  <c r="X143" i="8"/>
  <c r="H57" i="8" s="1"/>
  <c r="H92" i="8" s="1"/>
  <c r="O109" i="8"/>
  <c r="AT143" i="8"/>
  <c r="H97" i="8" s="1"/>
  <c r="Y30" i="3" s="1"/>
  <c r="F316" i="8"/>
  <c r="F317" i="8" s="1"/>
  <c r="L316" i="8"/>
  <c r="L317" i="8" s="1"/>
  <c r="S316" i="8"/>
  <c r="S317" i="8" s="1"/>
  <c r="H42" i="8"/>
  <c r="H43" i="8" s="1"/>
  <c r="H83" i="8"/>
  <c r="H84" i="8" s="1"/>
  <c r="H67" i="8"/>
  <c r="H68" i="8" s="1"/>
  <c r="H75" i="8"/>
  <c r="H76" i="8" s="1"/>
  <c r="H34" i="8"/>
  <c r="H35" i="8" s="1"/>
  <c r="H50" i="8"/>
  <c r="H51" i="8" s="1"/>
  <c r="E75" i="8"/>
  <c r="E76" i="8" s="1"/>
  <c r="E42" i="8"/>
  <c r="E43" i="8" s="1"/>
  <c r="E67" i="8"/>
  <c r="E68" i="8" s="1"/>
  <c r="E83" i="8"/>
  <c r="E84" i="8" s="1"/>
  <c r="E34" i="8"/>
  <c r="E35" i="8" s="1"/>
  <c r="E50" i="8"/>
  <c r="E51" i="8" s="1"/>
  <c r="C75" i="8"/>
  <c r="C76" i="8" s="1"/>
  <c r="C42" i="8"/>
  <c r="C43" i="8" s="1"/>
  <c r="C67" i="8"/>
  <c r="C68" i="8" s="1"/>
  <c r="C83" i="8"/>
  <c r="C84" i="8" s="1"/>
  <c r="C34" i="8"/>
  <c r="C35" i="8" s="1"/>
  <c r="C50" i="8"/>
  <c r="C51" i="8" s="1"/>
  <c r="AA177" i="8"/>
  <c r="Y177" i="8"/>
  <c r="X177" i="8"/>
  <c r="W177" i="8"/>
  <c r="V177" i="8"/>
  <c r="T177" i="8"/>
  <c r="R177" i="8"/>
  <c r="AD177" i="8"/>
  <c r="AC177" i="8"/>
  <c r="AB177" i="8"/>
  <c r="U177" i="8"/>
  <c r="Q177" i="8"/>
  <c r="P177" i="8"/>
  <c r="O177" i="8"/>
  <c r="N177" i="8"/>
  <c r="AE177" i="8"/>
  <c r="Z177" i="8"/>
  <c r="S177" i="8"/>
  <c r="Y116" i="8"/>
  <c r="V143" i="8"/>
  <c r="G57" i="8" s="1"/>
  <c r="Q104" i="8"/>
  <c r="X167" i="8"/>
  <c r="AE167" i="8"/>
  <c r="AD167" i="8"/>
  <c r="AC167" i="8"/>
  <c r="AA167" i="8"/>
  <c r="AB167" i="8"/>
  <c r="Z167" i="8"/>
  <c r="Y167" i="8"/>
  <c r="W167" i="8"/>
  <c r="V167" i="8"/>
  <c r="U167" i="8"/>
  <c r="T167" i="8"/>
  <c r="S167" i="8"/>
  <c r="Q167" i="8"/>
  <c r="P167" i="8"/>
  <c r="R167" i="8"/>
  <c r="O167" i="8"/>
  <c r="N167" i="8"/>
  <c r="G316" i="8"/>
  <c r="G317" i="8" s="1"/>
  <c r="Q159" i="8"/>
  <c r="P159" i="8"/>
  <c r="O159" i="8"/>
  <c r="N159" i="8"/>
  <c r="AE159" i="8"/>
  <c r="AD159" i="8"/>
  <c r="AC159" i="8"/>
  <c r="AB159" i="8"/>
  <c r="AA159" i="8"/>
  <c r="Z159" i="8"/>
  <c r="W159" i="8"/>
  <c r="V159" i="8"/>
  <c r="Y159" i="8"/>
  <c r="X159" i="8"/>
  <c r="U159" i="8"/>
  <c r="T159" i="8"/>
  <c r="S159" i="8"/>
  <c r="R159" i="8"/>
  <c r="S178" i="8"/>
  <c r="Q178" i="8"/>
  <c r="T178" i="8"/>
  <c r="R178" i="8"/>
  <c r="P178" i="8"/>
  <c r="O178" i="8"/>
  <c r="N178" i="8"/>
  <c r="AD178" i="8"/>
  <c r="AC178" i="8"/>
  <c r="AB178" i="8"/>
  <c r="Z178" i="8"/>
  <c r="AE178" i="8"/>
  <c r="AA178" i="8"/>
  <c r="Y178" i="8"/>
  <c r="X178" i="8"/>
  <c r="W178" i="8"/>
  <c r="V178" i="8"/>
  <c r="U178" i="8"/>
  <c r="O130" i="8"/>
  <c r="N60" i="4"/>
  <c r="O61" i="4"/>
  <c r="U111" i="8"/>
  <c r="G63" i="8"/>
  <c r="G62" i="8"/>
  <c r="G65" i="8" s="1"/>
  <c r="G66" i="8" s="1"/>
  <c r="G89" i="8"/>
  <c r="W102" i="8"/>
  <c r="U163" i="8"/>
  <c r="T163" i="8"/>
  <c r="S163" i="8"/>
  <c r="R163" i="8"/>
  <c r="P163" i="8"/>
  <c r="AE163" i="8"/>
  <c r="AD163" i="8"/>
  <c r="AA163" i="8"/>
  <c r="Z163" i="8"/>
  <c r="O163" i="8"/>
  <c r="N163" i="8"/>
  <c r="AC163" i="8"/>
  <c r="AB163" i="8"/>
  <c r="Y163" i="8"/>
  <c r="X163" i="8"/>
  <c r="W163" i="8"/>
  <c r="V163" i="8"/>
  <c r="Q163" i="8"/>
  <c r="E316" i="8"/>
  <c r="E317" i="8" s="1"/>
  <c r="S171" i="8"/>
  <c r="AE171" i="8"/>
  <c r="AD171" i="8"/>
  <c r="AC171" i="8"/>
  <c r="AB171" i="8"/>
  <c r="Z171" i="8"/>
  <c r="AA171" i="8"/>
  <c r="Y171" i="8"/>
  <c r="X171" i="8"/>
  <c r="W171" i="8"/>
  <c r="V171" i="8"/>
  <c r="U171" i="8"/>
  <c r="T171" i="8"/>
  <c r="R171" i="8"/>
  <c r="P171" i="8"/>
  <c r="O171" i="8"/>
  <c r="Q171" i="8"/>
  <c r="N171" i="8"/>
  <c r="J81" i="8"/>
  <c r="J73" i="8"/>
  <c r="H316" i="8"/>
  <c r="H317" i="8" s="1"/>
  <c r="O176" i="8"/>
  <c r="AE176" i="8"/>
  <c r="AD176" i="8"/>
  <c r="AC176" i="8"/>
  <c r="AA176" i="8"/>
  <c r="Y176" i="8"/>
  <c r="AB176" i="8"/>
  <c r="X176" i="8"/>
  <c r="W176" i="8"/>
  <c r="T176" i="8"/>
  <c r="Z176" i="8"/>
  <c r="V176" i="8"/>
  <c r="U176" i="8"/>
  <c r="S176" i="8"/>
  <c r="R176" i="8"/>
  <c r="P176" i="8"/>
  <c r="N176" i="8"/>
  <c r="Q176" i="8"/>
  <c r="F178" i="8"/>
  <c r="Y137" i="8"/>
  <c r="Q119" i="8"/>
  <c r="S136" i="8"/>
  <c r="Q110" i="8"/>
  <c r="K178" i="8"/>
  <c r="W175" i="8"/>
  <c r="R175" i="8"/>
  <c r="Q175" i="8"/>
  <c r="P175" i="8"/>
  <c r="O175" i="8"/>
  <c r="AE175" i="8"/>
  <c r="AD175" i="8"/>
  <c r="AC175" i="8"/>
  <c r="AB175" i="8"/>
  <c r="AA175" i="8"/>
  <c r="Y175" i="8"/>
  <c r="X175" i="8"/>
  <c r="T175" i="8"/>
  <c r="Z175" i="8"/>
  <c r="V175" i="8"/>
  <c r="U175" i="8"/>
  <c r="S175" i="8"/>
  <c r="N175" i="8"/>
  <c r="N55" i="4"/>
  <c r="O56" i="4"/>
  <c r="R160" i="8"/>
  <c r="Q160" i="8"/>
  <c r="P160" i="8"/>
  <c r="O160" i="8"/>
  <c r="S160" i="8"/>
  <c r="N160" i="8"/>
  <c r="AC160" i="8"/>
  <c r="AB160" i="8"/>
  <c r="V160" i="8"/>
  <c r="U160" i="8"/>
  <c r="T160" i="8"/>
  <c r="AD160" i="8"/>
  <c r="AA160" i="8"/>
  <c r="Z160" i="8"/>
  <c r="Y160" i="8"/>
  <c r="X160" i="8"/>
  <c r="W160" i="8"/>
  <c r="AE160" i="8"/>
  <c r="J168" i="8"/>
  <c r="O120" i="8"/>
  <c r="O113" i="8"/>
  <c r="U130" i="8"/>
  <c r="U138" i="8"/>
  <c r="U104" i="8"/>
  <c r="Y110" i="8"/>
  <c r="O106" i="8"/>
  <c r="I316" i="8"/>
  <c r="I317" i="8" s="1"/>
  <c r="AS143" i="8"/>
  <c r="G97" i="8" s="1"/>
  <c r="J316" i="8"/>
  <c r="J317" i="8" s="1"/>
  <c r="W180" i="8"/>
  <c r="U180" i="8"/>
  <c r="AD180" i="8"/>
  <c r="AC180" i="8"/>
  <c r="AB180" i="8"/>
  <c r="AA180" i="8"/>
  <c r="Z180" i="8"/>
  <c r="Y180" i="8"/>
  <c r="X180" i="8"/>
  <c r="V180" i="8"/>
  <c r="AE180" i="8"/>
  <c r="T180" i="8"/>
  <c r="S180" i="8"/>
  <c r="R180" i="8"/>
  <c r="Q180" i="8"/>
  <c r="P180" i="8"/>
  <c r="O180" i="8"/>
  <c r="N180" i="8"/>
  <c r="L178" i="8"/>
  <c r="J83" i="8"/>
  <c r="J84" i="8" s="1"/>
  <c r="J34" i="8"/>
  <c r="J35" i="8" s="1"/>
  <c r="J75" i="8"/>
  <c r="J76" i="8" s="1"/>
  <c r="J50" i="8"/>
  <c r="J51" i="8" s="1"/>
  <c r="J67" i="8"/>
  <c r="J68" i="8" s="1"/>
  <c r="J42" i="8"/>
  <c r="J43" i="8" s="1"/>
  <c r="N58" i="4"/>
  <c r="O59" i="4"/>
  <c r="O108" i="8"/>
  <c r="F23" i="8"/>
  <c r="Y130" i="8"/>
  <c r="U124" i="8"/>
  <c r="S106" i="8"/>
  <c r="R143" i="8"/>
  <c r="E57" i="8" s="1"/>
  <c r="K316" i="8"/>
  <c r="K317" i="8" s="1"/>
  <c r="W166" i="8"/>
  <c r="AD166" i="8"/>
  <c r="AC166" i="8"/>
  <c r="AB166" i="8"/>
  <c r="AA166" i="8"/>
  <c r="Y166" i="8"/>
  <c r="T166" i="8"/>
  <c r="S166" i="8"/>
  <c r="R166" i="8"/>
  <c r="Q166" i="8"/>
  <c r="P166" i="8"/>
  <c r="O166" i="8"/>
  <c r="N166" i="8"/>
  <c r="Z166" i="8"/>
  <c r="X166" i="8"/>
  <c r="AE166" i="8"/>
  <c r="V166" i="8"/>
  <c r="U166" i="8"/>
  <c r="K168" i="8"/>
  <c r="J48" i="8"/>
  <c r="J49" i="8" s="1"/>
  <c r="J40" i="8"/>
  <c r="B85" i="3"/>
  <c r="O128" i="8"/>
  <c r="Y128" i="8"/>
  <c r="U123" i="8"/>
  <c r="O110" i="8"/>
  <c r="S126" i="8"/>
  <c r="S31" i="3"/>
  <c r="E93" i="2" s="1"/>
  <c r="V31" i="3"/>
  <c r="AE179" i="8"/>
  <c r="AC179" i="8"/>
  <c r="N179" i="8"/>
  <c r="AD179" i="8"/>
  <c r="AB179" i="8"/>
  <c r="AA179" i="8"/>
  <c r="U179" i="8"/>
  <c r="T179" i="8"/>
  <c r="S179" i="8"/>
  <c r="R179" i="8"/>
  <c r="Q179" i="8"/>
  <c r="P179" i="8"/>
  <c r="O179" i="8"/>
  <c r="Z179" i="8"/>
  <c r="Y179" i="8"/>
  <c r="X179" i="8"/>
  <c r="W179" i="8"/>
  <c r="V179" i="8"/>
  <c r="C178" i="8"/>
  <c r="U114" i="8"/>
  <c r="G32" i="8"/>
  <c r="G33" i="8" s="1"/>
  <c r="Y119" i="8"/>
  <c r="E40" i="8"/>
  <c r="E48" i="8"/>
  <c r="E49" i="8" s="1"/>
  <c r="O31" i="3"/>
  <c r="D93" i="2"/>
  <c r="U31" i="3"/>
  <c r="K22" i="8"/>
  <c r="K73" i="8" s="1"/>
  <c r="Y108" i="8"/>
  <c r="O129" i="8"/>
  <c r="AD143" i="8"/>
  <c r="L57" i="8" s="1"/>
  <c r="Y114" i="8"/>
  <c r="H32" i="8"/>
  <c r="H33" i="8" s="1"/>
  <c r="G48" i="8"/>
  <c r="G40" i="8"/>
  <c r="G41" i="8" s="1"/>
  <c r="Y123" i="8"/>
  <c r="O123" i="8"/>
  <c r="U103" i="8"/>
  <c r="N57" i="4"/>
  <c r="O58" i="4"/>
  <c r="M316" i="8"/>
  <c r="M317" i="8" s="1"/>
  <c r="C48" i="8"/>
  <c r="C40" i="8"/>
  <c r="C41" i="8" s="1"/>
  <c r="N316" i="8"/>
  <c r="N317" i="8" s="1"/>
  <c r="Y107" i="8"/>
  <c r="Q316" i="8"/>
  <c r="Q317" i="8" s="1"/>
  <c r="AA143" i="8"/>
  <c r="J90" i="8" s="1"/>
  <c r="O157" i="8"/>
  <c r="N157" i="8"/>
  <c r="V157" i="8"/>
  <c r="U157" i="8"/>
  <c r="T157" i="8"/>
  <c r="S157" i="8"/>
  <c r="R157" i="8"/>
  <c r="Q157" i="8"/>
  <c r="P157" i="8"/>
  <c r="AE157" i="8"/>
  <c r="Y157" i="8"/>
  <c r="X157" i="8"/>
  <c r="W157" i="8"/>
  <c r="AD157" i="8"/>
  <c r="AC157" i="8"/>
  <c r="AB157" i="8"/>
  <c r="AA157" i="8"/>
  <c r="Z157" i="8"/>
  <c r="H40" i="8"/>
  <c r="H48" i="8"/>
  <c r="O140" i="8"/>
  <c r="O126" i="8"/>
  <c r="P158" i="8"/>
  <c r="O158" i="8"/>
  <c r="N158" i="8"/>
  <c r="AE158" i="8"/>
  <c r="AA158" i="8"/>
  <c r="Z158" i="8"/>
  <c r="Y158" i="8"/>
  <c r="X158" i="8"/>
  <c r="W158" i="8"/>
  <c r="V158" i="8"/>
  <c r="U158" i="8"/>
  <c r="T158" i="8"/>
  <c r="Q158" i="8"/>
  <c r="AD158" i="8"/>
  <c r="AC158" i="8"/>
  <c r="AB158" i="8"/>
  <c r="S158" i="8"/>
  <c r="R158" i="8"/>
  <c r="O316" i="8"/>
  <c r="O317" i="8" s="1"/>
  <c r="V174" i="8"/>
  <c r="P174" i="8"/>
  <c r="O174" i="8"/>
  <c r="N174" i="8"/>
  <c r="AB174" i="8"/>
  <c r="AA174" i="8"/>
  <c r="Z174" i="8"/>
  <c r="Y174" i="8"/>
  <c r="X174" i="8"/>
  <c r="W174" i="8"/>
  <c r="U174" i="8"/>
  <c r="T174" i="8"/>
  <c r="S174" i="8"/>
  <c r="Q174" i="8"/>
  <c r="R174" i="8"/>
  <c r="AE174" i="8"/>
  <c r="AD174" i="8"/>
  <c r="AC174" i="8"/>
  <c r="G178" i="8"/>
  <c r="C168" i="8"/>
  <c r="Y131" i="8"/>
  <c r="F63" i="8"/>
  <c r="F62" i="8"/>
  <c r="F65" i="8" s="1"/>
  <c r="F89" i="8"/>
  <c r="U102" i="8"/>
  <c r="Y113" i="8"/>
  <c r="O135" i="8"/>
  <c r="Y135" i="8"/>
  <c r="D63" i="8"/>
  <c r="D62" i="8"/>
  <c r="D65" i="8" s="1"/>
  <c r="D89" i="8"/>
  <c r="Q102" i="8"/>
  <c r="E62" i="8"/>
  <c r="E65" i="8" s="1"/>
  <c r="E63" i="8"/>
  <c r="E89" i="8"/>
  <c r="S102" i="8"/>
  <c r="Y111" i="8"/>
  <c r="Q109" i="8"/>
  <c r="Y106" i="8"/>
  <c r="Q126" i="8"/>
  <c r="P316" i="8"/>
  <c r="P317" i="8" s="1"/>
  <c r="AE153" i="8"/>
  <c r="AD153" i="8"/>
  <c r="AC153" i="8"/>
  <c r="AB153" i="8"/>
  <c r="AA153" i="8"/>
  <c r="Z153" i="8"/>
  <c r="Y153" i="8"/>
  <c r="X153" i="8"/>
  <c r="W153" i="8"/>
  <c r="V153" i="8"/>
  <c r="S153" i="8"/>
  <c r="R153" i="8"/>
  <c r="U153" i="8"/>
  <c r="Q153" i="8"/>
  <c r="P153" i="8"/>
  <c r="O153" i="8"/>
  <c r="N153" i="8"/>
  <c r="T153" i="8"/>
  <c r="D178" i="8"/>
  <c r="Y117" i="8"/>
  <c r="Y127" i="8"/>
  <c r="O119" i="8"/>
  <c r="U110" i="8"/>
  <c r="D168" i="8"/>
  <c r="R316" i="8"/>
  <c r="R317" i="8" s="1"/>
  <c r="Q169" i="8"/>
  <c r="AA169" i="8"/>
  <c r="Z169" i="8"/>
  <c r="Y169" i="8"/>
  <c r="X169" i="8"/>
  <c r="V169" i="8"/>
  <c r="AE169" i="8"/>
  <c r="AD169" i="8"/>
  <c r="AB169" i="8"/>
  <c r="W169" i="8"/>
  <c r="AC169" i="8"/>
  <c r="U169" i="8"/>
  <c r="S169" i="8"/>
  <c r="R169" i="8"/>
  <c r="T169" i="8"/>
  <c r="P169" i="8"/>
  <c r="O169" i="8"/>
  <c r="N169" i="8"/>
  <c r="S161" i="8"/>
  <c r="R161" i="8"/>
  <c r="Q161" i="8"/>
  <c r="P161" i="8"/>
  <c r="N161" i="8"/>
  <c r="Y161" i="8"/>
  <c r="X161" i="8"/>
  <c r="W161" i="8"/>
  <c r="V161" i="8"/>
  <c r="U161" i="8"/>
  <c r="T161" i="8"/>
  <c r="O161" i="8"/>
  <c r="AE161" i="8"/>
  <c r="AB161" i="8"/>
  <c r="AA161" i="8"/>
  <c r="AD161" i="8"/>
  <c r="AC161" i="8"/>
  <c r="Z161" i="8"/>
  <c r="Y115" i="8"/>
  <c r="O139" i="8"/>
  <c r="O60" i="4"/>
  <c r="O114" i="8"/>
  <c r="Q123" i="8"/>
  <c r="Y104" i="8"/>
  <c r="S124" i="8"/>
  <c r="Y124" i="8"/>
  <c r="E168" i="8"/>
  <c r="Y139" i="8"/>
  <c r="Y120" i="8"/>
  <c r="O112" i="8"/>
  <c r="Y125" i="8"/>
  <c r="U140" i="8"/>
  <c r="Q140" i="8"/>
  <c r="O138" i="8"/>
  <c r="U119" i="8"/>
  <c r="N64" i="4"/>
  <c r="O65" i="4"/>
  <c r="Y103" i="8"/>
  <c r="O103" i="8"/>
  <c r="S109" i="8"/>
  <c r="W126" i="8"/>
  <c r="T316" i="8"/>
  <c r="T317" i="8" s="1"/>
  <c r="J178" i="8"/>
  <c r="N67" i="4"/>
  <c r="O68" i="4"/>
  <c r="Y133" i="8"/>
  <c r="Y138" i="8"/>
  <c r="O136" i="8"/>
  <c r="O111" i="8"/>
  <c r="W109" i="8"/>
  <c r="Q106" i="8"/>
  <c r="N156" i="8"/>
  <c r="AE156" i="8"/>
  <c r="R156" i="8"/>
  <c r="Q156" i="8"/>
  <c r="P156" i="8"/>
  <c r="O156" i="8"/>
  <c r="AB156" i="8"/>
  <c r="AA156" i="8"/>
  <c r="AD156" i="8"/>
  <c r="AC156" i="8"/>
  <c r="Z156" i="8"/>
  <c r="Y156" i="8"/>
  <c r="X156" i="8"/>
  <c r="U156" i="8"/>
  <c r="T156" i="8"/>
  <c r="W156" i="8"/>
  <c r="V156" i="8"/>
  <c r="S156" i="8"/>
  <c r="F168" i="8"/>
  <c r="U316" i="8"/>
  <c r="U317" i="8" s="1"/>
  <c r="Y132" i="8"/>
  <c r="Z143" i="8"/>
  <c r="J57" i="8" s="1"/>
  <c r="AE165" i="8"/>
  <c r="P165" i="8"/>
  <c r="O165" i="8"/>
  <c r="N165" i="8"/>
  <c r="V165" i="8"/>
  <c r="U165" i="8"/>
  <c r="T165" i="8"/>
  <c r="S165" i="8"/>
  <c r="R165" i="8"/>
  <c r="Q165" i="8"/>
  <c r="Y165" i="8"/>
  <c r="X165" i="8"/>
  <c r="W165" i="8"/>
  <c r="AD165" i="8"/>
  <c r="AC165" i="8"/>
  <c r="AB165" i="8"/>
  <c r="AA165" i="8"/>
  <c r="Z165" i="8"/>
  <c r="U173" i="8"/>
  <c r="N173" i="8"/>
  <c r="AD173" i="8"/>
  <c r="T173" i="8"/>
  <c r="S173" i="8"/>
  <c r="R173" i="8"/>
  <c r="Q173" i="8"/>
  <c r="P173" i="8"/>
  <c r="O173" i="8"/>
  <c r="AE173" i="8"/>
  <c r="AC173" i="8"/>
  <c r="AB173" i="8"/>
  <c r="AA173" i="8"/>
  <c r="Z173" i="8"/>
  <c r="Y173" i="8"/>
  <c r="X173" i="8"/>
  <c r="W173" i="8"/>
  <c r="V173" i="8"/>
  <c r="G168" i="8"/>
  <c r="U120" i="8"/>
  <c r="AC143" i="8"/>
  <c r="K90" i="8" s="1"/>
  <c r="Y140" i="8"/>
  <c r="Q130" i="8"/>
  <c r="O63" i="4"/>
  <c r="N62" i="4"/>
  <c r="S123" i="8"/>
  <c r="W119" i="8"/>
  <c r="O104" i="8"/>
  <c r="S104" i="8"/>
  <c r="U136" i="8"/>
  <c r="Q103" i="8"/>
  <c r="U109" i="8"/>
  <c r="W110" i="8"/>
  <c r="H43" i="3"/>
  <c r="AD152" i="8"/>
  <c r="AC152" i="8"/>
  <c r="Z152" i="8"/>
  <c r="Y152" i="8"/>
  <c r="X152" i="8"/>
  <c r="W152" i="8"/>
  <c r="V152" i="8"/>
  <c r="U152" i="8"/>
  <c r="T152" i="8"/>
  <c r="S152" i="8"/>
  <c r="P152" i="8"/>
  <c r="O152" i="8"/>
  <c r="AE152" i="8"/>
  <c r="AB152" i="8"/>
  <c r="AA152" i="8"/>
  <c r="R152" i="8"/>
  <c r="Q152" i="8"/>
  <c r="N152" i="8"/>
  <c r="O57" i="4"/>
  <c r="N56" i="4"/>
  <c r="Y105" i="8"/>
  <c r="G67" i="8"/>
  <c r="G68" i="8" s="1"/>
  <c r="G83" i="8"/>
  <c r="G84" i="8" s="1"/>
  <c r="G75" i="8"/>
  <c r="G76" i="8" s="1"/>
  <c r="G34" i="8"/>
  <c r="G35" i="8" s="1"/>
  <c r="G50" i="8"/>
  <c r="G51" i="8" s="1"/>
  <c r="G42" i="8"/>
  <c r="G43" i="8" s="1"/>
  <c r="Q111" i="8"/>
  <c r="H63" i="8"/>
  <c r="H62" i="8"/>
  <c r="H65" i="8" s="1"/>
  <c r="H66" i="8" s="1"/>
  <c r="H89" i="8"/>
  <c r="Y102" i="8"/>
  <c r="H168" i="8"/>
  <c r="Y134" i="8"/>
  <c r="Y118" i="8"/>
  <c r="H178" i="8"/>
  <c r="C62" i="8"/>
  <c r="C65" i="8" s="1"/>
  <c r="C63" i="8"/>
  <c r="C89" i="8"/>
  <c r="O102" i="8"/>
  <c r="L22" i="8"/>
  <c r="L48" i="8" s="1"/>
  <c r="Y129" i="8"/>
  <c r="O66" i="4"/>
  <c r="N65" i="4"/>
  <c r="O125" i="8"/>
  <c r="Q138" i="8"/>
  <c r="W123" i="8"/>
  <c r="Y136" i="8"/>
  <c r="Y109" i="8"/>
  <c r="U106" i="8"/>
  <c r="Y126" i="8"/>
  <c r="T31" i="3"/>
  <c r="K31" i="3"/>
  <c r="B43" i="3" s="1"/>
  <c r="T162" i="8"/>
  <c r="S162" i="8"/>
  <c r="R162" i="8"/>
  <c r="Q162" i="8"/>
  <c r="O162" i="8"/>
  <c r="AE162" i="8"/>
  <c r="AD162" i="8"/>
  <c r="AC162" i="8"/>
  <c r="AB162" i="8"/>
  <c r="AA162" i="8"/>
  <c r="Z162" i="8"/>
  <c r="Y162" i="8"/>
  <c r="X162" i="8"/>
  <c r="U162" i="8"/>
  <c r="P162" i="8"/>
  <c r="W162" i="8"/>
  <c r="V162" i="8"/>
  <c r="N162" i="8"/>
  <c r="R170" i="8"/>
  <c r="AC170" i="8"/>
  <c r="AB170" i="8"/>
  <c r="AA170" i="8"/>
  <c r="Z170" i="8"/>
  <c r="X170" i="8"/>
  <c r="T170" i="8"/>
  <c r="S170" i="8"/>
  <c r="Q170" i="8"/>
  <c r="P170" i="8"/>
  <c r="O170" i="8"/>
  <c r="N170" i="8"/>
  <c r="AE170" i="8"/>
  <c r="AD170" i="8"/>
  <c r="Y170" i="8"/>
  <c r="W170" i="8"/>
  <c r="V170" i="8"/>
  <c r="U170" i="8"/>
  <c r="V316" i="8"/>
  <c r="V317" i="8" s="1"/>
  <c r="T172" i="8"/>
  <c r="AE172" i="8"/>
  <c r="AD172" i="8"/>
  <c r="AB172" i="8"/>
  <c r="AC172" i="8"/>
  <c r="AA172" i="8"/>
  <c r="Z172" i="8"/>
  <c r="X172" i="8"/>
  <c r="W172" i="8"/>
  <c r="V172" i="8"/>
  <c r="U172" i="8"/>
  <c r="R172" i="8"/>
  <c r="Q172" i="8"/>
  <c r="P172" i="8"/>
  <c r="O172" i="8"/>
  <c r="N172" i="8"/>
  <c r="Y172" i="8"/>
  <c r="S172" i="8"/>
  <c r="S164" i="8"/>
  <c r="W164" i="8"/>
  <c r="V164" i="8"/>
  <c r="U164" i="8"/>
  <c r="T164" i="8"/>
  <c r="Q164" i="8"/>
  <c r="X164" i="8"/>
  <c r="R164" i="8"/>
  <c r="P164" i="8"/>
  <c r="O164" i="8"/>
  <c r="N164" i="8"/>
  <c r="AE164" i="8"/>
  <c r="AD164" i="8"/>
  <c r="AA164" i="8"/>
  <c r="Z164" i="8"/>
  <c r="AC164" i="8"/>
  <c r="AB164" i="8"/>
  <c r="Y164" i="8"/>
  <c r="P143" i="8"/>
  <c r="D57" i="8" s="1"/>
  <c r="W316" i="8"/>
  <c r="W317" i="8" s="1"/>
  <c r="Y121" i="8"/>
  <c r="AE154" i="8"/>
  <c r="AD154" i="8"/>
  <c r="AC154" i="8"/>
  <c r="AB154" i="8"/>
  <c r="AA154" i="8"/>
  <c r="Z154" i="8"/>
  <c r="Y154" i="8"/>
  <c r="V154" i="8"/>
  <c r="U154" i="8"/>
  <c r="X154" i="8"/>
  <c r="W154" i="8"/>
  <c r="T154" i="8"/>
  <c r="S154" i="8"/>
  <c r="R154" i="8"/>
  <c r="O154" i="8"/>
  <c r="N154" i="8"/>
  <c r="Q154" i="8"/>
  <c r="P154" i="8"/>
  <c r="O155" i="8"/>
  <c r="N155" i="8"/>
  <c r="AE155" i="8"/>
  <c r="AD155" i="8"/>
  <c r="AC155" i="8"/>
  <c r="AB155" i="8"/>
  <c r="Y155" i="8"/>
  <c r="X155" i="8"/>
  <c r="R155" i="8"/>
  <c r="Q155" i="8"/>
  <c r="P155" i="8"/>
  <c r="Z155" i="8"/>
  <c r="W155" i="8"/>
  <c r="V155" i="8"/>
  <c r="U155" i="8"/>
  <c r="T155" i="8"/>
  <c r="S155" i="8"/>
  <c r="AA155" i="8"/>
  <c r="N63" i="4"/>
  <c r="O64" i="4"/>
  <c r="D316" i="8"/>
  <c r="D317" i="8" s="1"/>
  <c r="O181" i="8"/>
  <c r="X181" i="8"/>
  <c r="W181" i="8"/>
  <c r="V181" i="8"/>
  <c r="U181" i="8"/>
  <c r="T181" i="8"/>
  <c r="S181" i="8"/>
  <c r="R181" i="8"/>
  <c r="Q181" i="8"/>
  <c r="AE181" i="8"/>
  <c r="AD181" i="8"/>
  <c r="AC181" i="8"/>
  <c r="AB181" i="8"/>
  <c r="AA181" i="8"/>
  <c r="Z181" i="8"/>
  <c r="Y181" i="8"/>
  <c r="P181" i="8"/>
  <c r="N181" i="8"/>
  <c r="P168" i="8"/>
  <c r="Y168" i="8"/>
  <c r="X168" i="8"/>
  <c r="W168" i="8"/>
  <c r="V168" i="8"/>
  <c r="T168" i="8"/>
  <c r="AE168" i="8"/>
  <c r="AD168" i="8"/>
  <c r="AC168" i="8"/>
  <c r="AB168" i="8"/>
  <c r="AA168" i="8"/>
  <c r="Z168" i="8"/>
  <c r="U168" i="8"/>
  <c r="S168" i="8"/>
  <c r="R168" i="8"/>
  <c r="O168" i="8"/>
  <c r="N168" i="8"/>
  <c r="Q168" i="8"/>
  <c r="Y122" i="8"/>
  <c r="Q127" i="8"/>
  <c r="Q129" i="8"/>
  <c r="U135" i="8"/>
  <c r="S125" i="8"/>
  <c r="Q136" i="8"/>
  <c r="S111" i="8"/>
  <c r="D43" i="3" l="1"/>
  <c r="D25" i="10"/>
  <c r="G93" i="2"/>
  <c r="G88" i="2"/>
  <c r="G87" i="2"/>
  <c r="F40" i="4"/>
  <c r="S37" i="5"/>
  <c r="G97" i="3" s="1"/>
  <c r="D136" i="4"/>
  <c r="F136" i="4" s="1"/>
  <c r="E136" i="4"/>
  <c r="C92" i="8"/>
  <c r="C94" i="8" s="1"/>
  <c r="S25" i="3" s="1"/>
  <c r="A10" i="2"/>
  <c r="D33" i="8"/>
  <c r="D49" i="8"/>
  <c r="D34" i="8"/>
  <c r="D35" i="8" s="1"/>
  <c r="K92" i="8"/>
  <c r="K94" i="8" s="1"/>
  <c r="J12" i="7" s="1"/>
  <c r="M12" i="7" s="1"/>
  <c r="L93" i="8"/>
  <c r="L95" i="8" s="1"/>
  <c r="L13" i="7" s="1"/>
  <c r="D24" i="7" s="1"/>
  <c r="E179" i="8"/>
  <c r="E181" i="8" s="1"/>
  <c r="E182" i="8" s="1"/>
  <c r="E183" i="8" s="1"/>
  <c r="D273" i="8"/>
  <c r="D274" i="8" s="1"/>
  <c r="N25" i="4" s="1"/>
  <c r="Q25" i="4" s="1"/>
  <c r="V25" i="4" s="1"/>
  <c r="M273" i="8"/>
  <c r="M274" i="8" s="1"/>
  <c r="M27" i="4" s="1"/>
  <c r="P27" i="4" s="1"/>
  <c r="U27" i="4" s="1"/>
  <c r="K273" i="8"/>
  <c r="K274" i="8" s="1"/>
  <c r="M25" i="4" s="1"/>
  <c r="P25" i="4" s="1"/>
  <c r="U25" i="4" s="1"/>
  <c r="I273" i="8"/>
  <c r="I274" i="8" s="1"/>
  <c r="N30" i="4" s="1"/>
  <c r="Q30" i="4" s="1"/>
  <c r="V30" i="4" s="1"/>
  <c r="S273" i="8"/>
  <c r="S274" i="8" s="1"/>
  <c r="L26" i="4" s="1"/>
  <c r="O26" i="4" s="1"/>
  <c r="T26" i="4" s="1"/>
  <c r="C8" i="5" s="1"/>
  <c r="D93" i="3" s="1"/>
  <c r="L65" i="8"/>
  <c r="D98" i="8"/>
  <c r="D99" i="8" s="1"/>
  <c r="Z26" i="3" s="1"/>
  <c r="D20" i="10" s="1"/>
  <c r="L215" i="8"/>
  <c r="L216" i="8" s="1"/>
  <c r="AN107" i="8" s="1"/>
  <c r="R28" i="3"/>
  <c r="E273" i="8"/>
  <c r="E274" i="8" s="1"/>
  <c r="N26" i="4" s="1"/>
  <c r="Q26" i="4" s="1"/>
  <c r="V26" i="4" s="1"/>
  <c r="O273" i="8"/>
  <c r="O274" i="8" s="1"/>
  <c r="M29" i="4" s="1"/>
  <c r="P29" i="4" s="1"/>
  <c r="U29" i="4" s="1"/>
  <c r="W273" i="8"/>
  <c r="W274" i="8" s="1"/>
  <c r="L30" i="4" s="1"/>
  <c r="O30" i="4" s="1"/>
  <c r="T30" i="4" s="1"/>
  <c r="U273" i="8"/>
  <c r="U274" i="8" s="1"/>
  <c r="L28" i="4" s="1"/>
  <c r="O28" i="4" s="1"/>
  <c r="T28" i="4" s="1"/>
  <c r="G273" i="8"/>
  <c r="G274" i="8" s="1"/>
  <c r="N28" i="4" s="1"/>
  <c r="Q28" i="4" s="1"/>
  <c r="V28" i="4" s="1"/>
  <c r="T273" i="8"/>
  <c r="T274" i="8" s="1"/>
  <c r="L27" i="4" s="1"/>
  <c r="O27" i="4" s="1"/>
  <c r="T27" i="4" s="1"/>
  <c r="B37" i="4" s="1"/>
  <c r="V273" i="8"/>
  <c r="V274" i="8" s="1"/>
  <c r="L29" i="4" s="1"/>
  <c r="O29" i="4" s="1"/>
  <c r="T29" i="4" s="1"/>
  <c r="Y25" i="3"/>
  <c r="C273" i="8"/>
  <c r="C274" i="8" s="1"/>
  <c r="N24" i="4" s="1"/>
  <c r="Q24" i="4" s="1"/>
  <c r="V24" i="4" s="1"/>
  <c r="G36" i="8"/>
  <c r="D67" i="8"/>
  <c r="D68" i="8" s="1"/>
  <c r="D42" i="8"/>
  <c r="D43" i="8" s="1"/>
  <c r="Q273" i="8"/>
  <c r="Q274" i="8" s="1"/>
  <c r="L24" i="4" s="1"/>
  <c r="O24" i="4" s="1"/>
  <c r="T24" i="4" s="1"/>
  <c r="C6" i="5" s="1"/>
  <c r="D91" i="3" s="1"/>
  <c r="L273" i="8"/>
  <c r="L274" i="8" s="1"/>
  <c r="M26" i="4" s="1"/>
  <c r="P26" i="4" s="1"/>
  <c r="U26" i="4" s="1"/>
  <c r="H273" i="8"/>
  <c r="H274" i="8" s="1"/>
  <c r="N29" i="4" s="1"/>
  <c r="Q29" i="4" s="1"/>
  <c r="V29" i="4" s="1"/>
  <c r="J273" i="8"/>
  <c r="J274" i="8" s="1"/>
  <c r="M24" i="4" s="1"/>
  <c r="P24" i="4" s="1"/>
  <c r="U24" i="4" s="1"/>
  <c r="F273" i="8"/>
  <c r="F274" i="8" s="1"/>
  <c r="N27" i="4" s="1"/>
  <c r="Q27" i="4" s="1"/>
  <c r="V27" i="4" s="1"/>
  <c r="R273" i="8"/>
  <c r="R274" i="8" s="1"/>
  <c r="L25" i="4" s="1"/>
  <c r="O25" i="4" s="1"/>
  <c r="T25" i="4" s="1"/>
  <c r="C7" i="5" s="1"/>
  <c r="D92" i="3" s="1"/>
  <c r="E69" i="8"/>
  <c r="E45" i="8"/>
  <c r="D75" i="8"/>
  <c r="D76" i="8" s="1"/>
  <c r="P273" i="8"/>
  <c r="P274" i="8" s="1"/>
  <c r="M30" i="4" s="1"/>
  <c r="P30" i="4" s="1"/>
  <c r="U30" i="4" s="1"/>
  <c r="N273" i="8"/>
  <c r="N274" i="8" s="1"/>
  <c r="M28" i="4" s="1"/>
  <c r="P28" i="4" s="1"/>
  <c r="U28" i="4" s="1"/>
  <c r="J36" i="8"/>
  <c r="J37" i="8"/>
  <c r="G37" i="8"/>
  <c r="H45" i="8"/>
  <c r="Y27" i="3"/>
  <c r="K65" i="8"/>
  <c r="J78" i="8"/>
  <c r="C52" i="8"/>
  <c r="C70" i="8"/>
  <c r="D41" i="8"/>
  <c r="R30" i="3"/>
  <c r="H52" i="8"/>
  <c r="J86" i="8"/>
  <c r="D50" i="8"/>
  <c r="D51" i="8" s="1"/>
  <c r="H98" i="8"/>
  <c r="H99" i="8" s="1"/>
  <c r="Z30" i="3" s="1"/>
  <c r="S36" i="5" s="1"/>
  <c r="G96" i="3" s="1"/>
  <c r="C44" i="8"/>
  <c r="C45" i="8"/>
  <c r="J45" i="8"/>
  <c r="D165" i="8"/>
  <c r="Q26" i="3" s="1"/>
  <c r="L32" i="8"/>
  <c r="G52" i="8"/>
  <c r="J82" i="8"/>
  <c r="Y28" i="3"/>
  <c r="J85" i="8"/>
  <c r="E53" i="8"/>
  <c r="E41" i="8"/>
  <c r="J44" i="8"/>
  <c r="C36" i="8"/>
  <c r="C53" i="8"/>
  <c r="G44" i="8"/>
  <c r="C166" i="8"/>
  <c r="M25" i="3" s="1"/>
  <c r="J77" i="8"/>
  <c r="U143" i="8"/>
  <c r="F90" i="8" s="1"/>
  <c r="C180" i="8"/>
  <c r="C179" i="8"/>
  <c r="J52" i="8"/>
  <c r="C49" i="8"/>
  <c r="E36" i="8"/>
  <c r="D92" i="8"/>
  <c r="R26" i="3"/>
  <c r="Y143" i="8"/>
  <c r="H90" i="8" s="1"/>
  <c r="E166" i="8"/>
  <c r="M27" i="3" s="1"/>
  <c r="J53" i="8"/>
  <c r="H69" i="8"/>
  <c r="F165" i="8"/>
  <c r="Q28" i="3" s="1"/>
  <c r="F180" i="8"/>
  <c r="F179" i="8"/>
  <c r="H81" i="8"/>
  <c r="H73" i="8"/>
  <c r="G49" i="8"/>
  <c r="G165" i="8"/>
  <c r="Q29" i="3" s="1"/>
  <c r="C69" i="8"/>
  <c r="E66" i="8"/>
  <c r="S31" i="5"/>
  <c r="G91" i="3" s="1"/>
  <c r="H37" i="3"/>
  <c r="F34" i="4"/>
  <c r="H44" i="8"/>
  <c r="K40" i="8"/>
  <c r="C66" i="8"/>
  <c r="E44" i="8"/>
  <c r="D180" i="8"/>
  <c r="D179" i="8"/>
  <c r="K48" i="8"/>
  <c r="E37" i="8"/>
  <c r="H37" i="8"/>
  <c r="G70" i="8"/>
  <c r="G53" i="8"/>
  <c r="J165" i="8"/>
  <c r="G215" i="8"/>
  <c r="G217" i="8"/>
  <c r="I29" i="3" s="1"/>
  <c r="J93" i="8"/>
  <c r="J95" i="8" s="1"/>
  <c r="L11" i="7" s="1"/>
  <c r="K11" i="7"/>
  <c r="J41" i="8"/>
  <c r="F94" i="8"/>
  <c r="S28" i="3" s="1"/>
  <c r="V28" i="3"/>
  <c r="H165" i="8"/>
  <c r="Q30" i="3" s="1"/>
  <c r="H166" i="8"/>
  <c r="M30" i="3" s="1"/>
  <c r="L23" i="8"/>
  <c r="G45" i="8"/>
  <c r="K166" i="8"/>
  <c r="S143" i="8"/>
  <c r="E90" i="8" s="1"/>
  <c r="K23" i="8"/>
  <c r="J69" i="8"/>
  <c r="K32" i="8"/>
  <c r="H49" i="8"/>
  <c r="K217" i="8"/>
  <c r="K215" i="8"/>
  <c r="K216" i="8" s="1"/>
  <c r="J74" i="8"/>
  <c r="G92" i="8"/>
  <c r="R29" i="3"/>
  <c r="L179" i="8"/>
  <c r="L180" i="8"/>
  <c r="L165" i="8"/>
  <c r="E92" i="8"/>
  <c r="R27" i="3"/>
  <c r="L73" i="8"/>
  <c r="E81" i="8"/>
  <c r="E73" i="8"/>
  <c r="C37" i="8"/>
  <c r="E70" i="8"/>
  <c r="H41" i="8"/>
  <c r="G179" i="8"/>
  <c r="G180" i="8"/>
  <c r="L81" i="8"/>
  <c r="S33" i="5"/>
  <c r="G93" i="3" s="1"/>
  <c r="H39" i="3"/>
  <c r="F36" i="4"/>
  <c r="C165" i="8"/>
  <c r="Q25" i="3" s="1"/>
  <c r="Q143" i="8"/>
  <c r="D90" i="8" s="1"/>
  <c r="C43" i="3"/>
  <c r="H94" i="8"/>
  <c r="S30" i="3" s="1"/>
  <c r="V30" i="3"/>
  <c r="E52" i="8"/>
  <c r="H53" i="8"/>
  <c r="W143" i="8"/>
  <c r="G90" i="8" s="1"/>
  <c r="G166" i="8"/>
  <c r="M29" i="3" s="1"/>
  <c r="D166" i="8"/>
  <c r="M26" i="3" s="1"/>
  <c r="F66" i="8"/>
  <c r="F67" i="8"/>
  <c r="F68" i="8" s="1"/>
  <c r="F42" i="8"/>
  <c r="F43" i="8" s="1"/>
  <c r="F83" i="8"/>
  <c r="F84" i="8" s="1"/>
  <c r="F49" i="8"/>
  <c r="F75" i="8"/>
  <c r="F76" i="8" s="1"/>
  <c r="F34" i="8"/>
  <c r="F35" i="8" s="1"/>
  <c r="F41" i="8"/>
  <c r="F50" i="8"/>
  <c r="F51" i="8" s="1"/>
  <c r="F33" i="8"/>
  <c r="D66" i="8"/>
  <c r="H36" i="8"/>
  <c r="H70" i="8"/>
  <c r="G98" i="8"/>
  <c r="G99" i="8" s="1"/>
  <c r="Z29" i="3" s="1"/>
  <c r="Y29" i="3"/>
  <c r="C73" i="8"/>
  <c r="C81" i="8"/>
  <c r="G69" i="8"/>
  <c r="E165" i="8"/>
  <c r="Q27" i="3" s="1"/>
  <c r="J179" i="8"/>
  <c r="J180" i="8"/>
  <c r="J70" i="8"/>
  <c r="K179" i="8"/>
  <c r="K180" i="8"/>
  <c r="S34" i="5"/>
  <c r="G94" i="3" s="1"/>
  <c r="H40" i="3"/>
  <c r="F37" i="4"/>
  <c r="K12" i="7"/>
  <c r="K93" i="8"/>
  <c r="K95" i="8" s="1"/>
  <c r="L12" i="7" s="1"/>
  <c r="J166" i="8"/>
  <c r="D81" i="8"/>
  <c r="D73" i="8"/>
  <c r="J217" i="8"/>
  <c r="J215" i="8"/>
  <c r="J216" i="8" s="1"/>
  <c r="F81" i="8"/>
  <c r="F73" i="8"/>
  <c r="J92" i="8"/>
  <c r="J94" i="8" s="1"/>
  <c r="J11" i="7" s="1"/>
  <c r="M11" i="7" s="1"/>
  <c r="I11" i="7"/>
  <c r="G81" i="8"/>
  <c r="G73" i="8"/>
  <c r="K165" i="8"/>
  <c r="K81" i="8"/>
  <c r="F166" i="8"/>
  <c r="M28" i="3" s="1"/>
  <c r="I13" i="7"/>
  <c r="L92" i="8"/>
  <c r="L94" i="8" s="1"/>
  <c r="J13" i="7" s="1"/>
  <c r="M13" i="7" s="1"/>
  <c r="O143" i="8"/>
  <c r="C90" i="8" s="1"/>
  <c r="H179" i="8"/>
  <c r="H180" i="8"/>
  <c r="L40" i="8"/>
  <c r="L166" i="8"/>
  <c r="H87" i="2" l="1"/>
  <c r="H92" i="2"/>
  <c r="E9" i="5"/>
  <c r="F34" i="5" s="1"/>
  <c r="E44" i="5" s="1"/>
  <c r="D66" i="2" s="1"/>
  <c r="H90" i="2"/>
  <c r="E8" i="5"/>
  <c r="F93" i="3" s="1"/>
  <c r="H89" i="2"/>
  <c r="E12" i="5"/>
  <c r="F37" i="5" s="1"/>
  <c r="Q37" i="5" s="1"/>
  <c r="H93" i="2"/>
  <c r="D37" i="3"/>
  <c r="F94" i="3"/>
  <c r="D40" i="3"/>
  <c r="D42" i="3"/>
  <c r="F97" i="3"/>
  <c r="D32" i="5"/>
  <c r="C42" i="5" s="1"/>
  <c r="B64" i="2" s="1"/>
  <c r="D33" i="5"/>
  <c r="G33" i="5" s="1"/>
  <c r="D31" i="5"/>
  <c r="C41" i="5" s="1"/>
  <c r="B63" i="2" s="1"/>
  <c r="T34" i="5"/>
  <c r="E55" i="5" s="1"/>
  <c r="H60" i="3" s="1"/>
  <c r="T33" i="5"/>
  <c r="U33" i="5" s="1"/>
  <c r="E81" i="5" s="1"/>
  <c r="H49" i="3" s="1"/>
  <c r="T37" i="5"/>
  <c r="E58" i="5" s="1"/>
  <c r="H63" i="3" s="1"/>
  <c r="T31" i="5"/>
  <c r="U31" i="5" s="1"/>
  <c r="E79" i="5" s="1"/>
  <c r="H47" i="3" s="1"/>
  <c r="T36" i="5"/>
  <c r="I95" i="5" s="1"/>
  <c r="S32" i="5"/>
  <c r="H38" i="3"/>
  <c r="F35" i="4"/>
  <c r="V25" i="3"/>
  <c r="D36" i="8"/>
  <c r="N13" i="7"/>
  <c r="E24" i="7" s="1"/>
  <c r="AN114" i="8"/>
  <c r="AN121" i="8"/>
  <c r="AN112" i="8"/>
  <c r="AN137" i="8"/>
  <c r="AN111" i="8"/>
  <c r="AN116" i="8"/>
  <c r="AN129" i="8"/>
  <c r="AN131" i="8"/>
  <c r="AN123" i="8"/>
  <c r="AN119" i="8"/>
  <c r="AN104" i="8"/>
  <c r="AN110" i="8"/>
  <c r="AN124" i="8"/>
  <c r="AN113" i="8"/>
  <c r="AN141" i="8"/>
  <c r="AN134" i="8"/>
  <c r="AN122" i="8"/>
  <c r="AN133" i="8"/>
  <c r="AN139" i="8"/>
  <c r="AN135" i="8"/>
  <c r="AN130" i="8"/>
  <c r="AN102" i="8"/>
  <c r="AN120" i="8"/>
  <c r="AN125" i="8"/>
  <c r="AN109" i="8"/>
  <c r="AN127" i="8"/>
  <c r="AN115" i="8"/>
  <c r="AN128" i="8"/>
  <c r="E35" i="4"/>
  <c r="E7" i="5"/>
  <c r="F92" i="3" s="1"/>
  <c r="F181" i="8"/>
  <c r="F182" i="8" s="1"/>
  <c r="F184" i="8" s="1"/>
  <c r="AN132" i="8"/>
  <c r="D12" i="5"/>
  <c r="E97" i="3" s="1"/>
  <c r="F39" i="4"/>
  <c r="D37" i="8"/>
  <c r="D40" i="4"/>
  <c r="AN136" i="8"/>
  <c r="AN126" i="8"/>
  <c r="AN106" i="8"/>
  <c r="D53" i="8"/>
  <c r="AN105" i="8"/>
  <c r="AN108" i="8"/>
  <c r="C12" i="5"/>
  <c r="D97" i="3" s="1"/>
  <c r="B40" i="4"/>
  <c r="D7" i="5"/>
  <c r="E92" i="3" s="1"/>
  <c r="AN138" i="8"/>
  <c r="AN140" i="8"/>
  <c r="AN118" i="8"/>
  <c r="AN103" i="8"/>
  <c r="AN117" i="8"/>
  <c r="H42" i="3"/>
  <c r="F52" i="8"/>
  <c r="F77" i="8"/>
  <c r="D70" i="8"/>
  <c r="E11" i="5"/>
  <c r="E39" i="4"/>
  <c r="C11" i="5"/>
  <c r="D96" i="3" s="1"/>
  <c r="B39" i="4"/>
  <c r="D36" i="4"/>
  <c r="D8" i="5"/>
  <c r="E93" i="3" s="1"/>
  <c r="E38" i="4"/>
  <c r="E10" i="5"/>
  <c r="D37" i="4"/>
  <c r="D44" i="8"/>
  <c r="E36" i="4"/>
  <c r="D69" i="8"/>
  <c r="D45" i="8"/>
  <c r="D52" i="8"/>
  <c r="F53" i="8"/>
  <c r="F44" i="8"/>
  <c r="D9" i="5"/>
  <c r="E94" i="3" s="1"/>
  <c r="F78" i="8"/>
  <c r="F86" i="8"/>
  <c r="C9" i="5"/>
  <c r="D94" i="3" s="1"/>
  <c r="B35" i="4"/>
  <c r="E184" i="8"/>
  <c r="E185" i="8" s="1"/>
  <c r="E186" i="8" s="1"/>
  <c r="F36" i="8"/>
  <c r="B36" i="4"/>
  <c r="D38" i="4"/>
  <c r="D10" i="5"/>
  <c r="E95" i="3" s="1"/>
  <c r="B34" i="4"/>
  <c r="F82" i="8"/>
  <c r="F85" i="8"/>
  <c r="F45" i="8"/>
  <c r="F74" i="8"/>
  <c r="E6" i="5"/>
  <c r="E34" i="4"/>
  <c r="D35" i="4"/>
  <c r="E40" i="4"/>
  <c r="E37" i="4"/>
  <c r="F37" i="8"/>
  <c r="F70" i="8"/>
  <c r="K42" i="8"/>
  <c r="K43" i="8" s="1"/>
  <c r="K74" i="8"/>
  <c r="K83" i="8"/>
  <c r="K84" i="8" s="1"/>
  <c r="K75" i="8"/>
  <c r="K76" i="8" s="1"/>
  <c r="K34" i="8"/>
  <c r="K35" i="8" s="1"/>
  <c r="K41" i="8"/>
  <c r="K66" i="8"/>
  <c r="K82" i="8"/>
  <c r="K67" i="8"/>
  <c r="K68" i="8" s="1"/>
  <c r="K49" i="8"/>
  <c r="K33" i="8"/>
  <c r="K50" i="8"/>
  <c r="K51" i="8" s="1"/>
  <c r="E94" i="8"/>
  <c r="S27" i="3" s="1"/>
  <c r="V27" i="3"/>
  <c r="H93" i="8"/>
  <c r="N30" i="3"/>
  <c r="D92" i="2" s="1"/>
  <c r="E77" i="8"/>
  <c r="E74" i="8"/>
  <c r="E78" i="8"/>
  <c r="H29" i="3"/>
  <c r="G216" i="8"/>
  <c r="L83" i="8"/>
  <c r="L84" i="8" s="1"/>
  <c r="L33" i="8"/>
  <c r="L74" i="8"/>
  <c r="L67" i="8"/>
  <c r="L68" i="8" s="1"/>
  <c r="L50" i="8"/>
  <c r="L51" i="8" s="1"/>
  <c r="L75" i="8"/>
  <c r="L76" i="8" s="1"/>
  <c r="L34" i="8"/>
  <c r="L35" i="8" s="1"/>
  <c r="L41" i="8"/>
  <c r="L66" i="8"/>
  <c r="L82" i="8"/>
  <c r="L42" i="8"/>
  <c r="L43" i="8" s="1"/>
  <c r="L49" i="8"/>
  <c r="H74" i="8"/>
  <c r="H77" i="8"/>
  <c r="H78" i="8"/>
  <c r="K181" i="8"/>
  <c r="K182" i="8" s="1"/>
  <c r="F69" i="8"/>
  <c r="L181" i="8"/>
  <c r="L182" i="8" s="1"/>
  <c r="D94" i="8"/>
  <c r="S26" i="3" s="1"/>
  <c r="V26" i="3"/>
  <c r="G74" i="8"/>
  <c r="G78" i="8"/>
  <c r="G77" i="8"/>
  <c r="G82" i="8"/>
  <c r="G85" i="8"/>
  <c r="G86" i="8"/>
  <c r="J181" i="8"/>
  <c r="J182" i="8" s="1"/>
  <c r="D181" i="8"/>
  <c r="D182" i="8" s="1"/>
  <c r="H82" i="8"/>
  <c r="H86" i="8"/>
  <c r="H85" i="8"/>
  <c r="E93" i="8"/>
  <c r="N27" i="3"/>
  <c r="D89" i="2" s="1"/>
  <c r="D11" i="5"/>
  <c r="E96" i="3" s="1"/>
  <c r="D39" i="4"/>
  <c r="C181" i="8"/>
  <c r="C182" i="8" s="1"/>
  <c r="C86" i="8"/>
  <c r="C85" i="8"/>
  <c r="C82" i="8"/>
  <c r="G93" i="8"/>
  <c r="N29" i="3"/>
  <c r="D91" i="2" s="1"/>
  <c r="G181" i="8"/>
  <c r="G182" i="8" s="1"/>
  <c r="G94" i="8"/>
  <c r="S29" i="3" s="1"/>
  <c r="V29" i="3"/>
  <c r="C78" i="8"/>
  <c r="C77" i="8"/>
  <c r="C74" i="8"/>
  <c r="F93" i="8"/>
  <c r="N28" i="3"/>
  <c r="D90" i="2" s="1"/>
  <c r="D93" i="8"/>
  <c r="N26" i="3"/>
  <c r="D88" i="2" s="1"/>
  <c r="E86" i="8"/>
  <c r="E85" i="8"/>
  <c r="E82" i="8"/>
  <c r="AL102" i="8"/>
  <c r="AL120" i="8"/>
  <c r="AL133" i="8"/>
  <c r="AL118" i="8"/>
  <c r="AL136" i="8"/>
  <c r="AL107" i="8"/>
  <c r="AL138" i="8"/>
  <c r="AL141" i="8"/>
  <c r="AL104" i="8"/>
  <c r="AL135" i="8"/>
  <c r="AL127" i="8"/>
  <c r="AL129" i="8"/>
  <c r="AL130" i="8"/>
  <c r="AL140" i="8"/>
  <c r="AL131" i="8"/>
  <c r="AL115" i="8"/>
  <c r="AL123" i="8"/>
  <c r="AL112" i="8"/>
  <c r="AL105" i="8"/>
  <c r="AL106" i="8"/>
  <c r="AL116" i="8"/>
  <c r="AL139" i="8"/>
  <c r="AL137" i="8"/>
  <c r="AL121" i="8"/>
  <c r="AL111" i="8"/>
  <c r="AL114" i="8"/>
  <c r="AL113" i="8"/>
  <c r="AL122" i="8"/>
  <c r="AL132" i="8"/>
  <c r="AL126" i="8"/>
  <c r="AL128" i="8"/>
  <c r="AL134" i="8"/>
  <c r="AL109" i="8"/>
  <c r="AL108" i="8"/>
  <c r="AL117" i="8"/>
  <c r="AL110" i="8"/>
  <c r="AL103" i="8"/>
  <c r="AL125" i="8"/>
  <c r="AL124" i="8"/>
  <c r="AL119" i="8"/>
  <c r="AM102" i="8"/>
  <c r="AM121" i="8"/>
  <c r="AM141" i="8"/>
  <c r="AM107" i="8"/>
  <c r="AM130" i="8"/>
  <c r="AM135" i="8"/>
  <c r="AM103" i="8"/>
  <c r="AM140" i="8"/>
  <c r="AM127" i="8"/>
  <c r="AM104" i="8"/>
  <c r="AM123" i="8"/>
  <c r="AM131" i="8"/>
  <c r="AM122" i="8"/>
  <c r="AM112" i="8"/>
  <c r="AM129" i="8"/>
  <c r="AM106" i="8"/>
  <c r="AM119" i="8"/>
  <c r="AM108" i="8"/>
  <c r="AM116" i="8"/>
  <c r="AM137" i="8"/>
  <c r="AM111" i="8"/>
  <c r="AM114" i="8"/>
  <c r="AM115" i="8"/>
  <c r="AM110" i="8"/>
  <c r="AM128" i="8"/>
  <c r="AM132" i="8"/>
  <c r="AM134" i="8"/>
  <c r="AM125" i="8"/>
  <c r="AM117" i="8"/>
  <c r="AM118" i="8"/>
  <c r="AM109" i="8"/>
  <c r="AM138" i="8"/>
  <c r="AM120" i="8"/>
  <c r="AM105" i="8"/>
  <c r="AM133" i="8"/>
  <c r="AM126" i="8"/>
  <c r="AM124" i="8"/>
  <c r="AM139" i="8"/>
  <c r="AM136" i="8"/>
  <c r="AM113" i="8"/>
  <c r="H181" i="8"/>
  <c r="H182" i="8" s="1"/>
  <c r="D23" i="7"/>
  <c r="N12" i="7"/>
  <c r="C93" i="8"/>
  <c r="N25" i="3"/>
  <c r="D87" i="2" s="1"/>
  <c r="D6" i="5"/>
  <c r="E91" i="3" s="1"/>
  <c r="D34" i="4"/>
  <c r="D77" i="8"/>
  <c r="D74" i="8"/>
  <c r="D78" i="8"/>
  <c r="S35" i="5"/>
  <c r="G95" i="3" s="1"/>
  <c r="H41" i="3"/>
  <c r="F38" i="4"/>
  <c r="C10" i="5"/>
  <c r="D95" i="3" s="1"/>
  <c r="B38" i="4"/>
  <c r="D85" i="8"/>
  <c r="D86" i="8"/>
  <c r="D82" i="8"/>
  <c r="D22" i="7"/>
  <c r="N11" i="7"/>
  <c r="H88" i="2" l="1"/>
  <c r="G92" i="3"/>
  <c r="G20" i="10"/>
  <c r="H91" i="2"/>
  <c r="G22" i="10"/>
  <c r="F33" i="5"/>
  <c r="Q33" i="5" s="1"/>
  <c r="E52" i="5"/>
  <c r="H57" i="3" s="1"/>
  <c r="G25" i="10"/>
  <c r="G21" i="10"/>
  <c r="D38" i="3"/>
  <c r="I90" i="5"/>
  <c r="U36" i="5"/>
  <c r="E84" i="5" s="1"/>
  <c r="H52" i="3" s="1"/>
  <c r="E57" i="5"/>
  <c r="H62" i="3" s="1"/>
  <c r="F96" i="3"/>
  <c r="G24" i="10"/>
  <c r="G19" i="10"/>
  <c r="F91" i="3"/>
  <c r="F95" i="3"/>
  <c r="G23" i="10"/>
  <c r="M31" i="5"/>
  <c r="U34" i="5"/>
  <c r="E82" i="5" s="1"/>
  <c r="H50" i="3" s="1"/>
  <c r="I37" i="5"/>
  <c r="G32" i="5"/>
  <c r="B53" i="5" s="1"/>
  <c r="B58" i="3" s="1"/>
  <c r="M32" i="5"/>
  <c r="G31" i="5"/>
  <c r="C90" i="5" s="1"/>
  <c r="I93" i="5"/>
  <c r="E47" i="5"/>
  <c r="D69" i="2" s="1"/>
  <c r="D41" i="3"/>
  <c r="D39" i="3"/>
  <c r="D37" i="5"/>
  <c r="G37" i="5" s="1"/>
  <c r="C96" i="5" s="1"/>
  <c r="E54" i="5"/>
  <c r="H59" i="3" s="1"/>
  <c r="E33" i="5"/>
  <c r="D43" i="5" s="1"/>
  <c r="C65" i="2" s="1"/>
  <c r="I96" i="5"/>
  <c r="F36" i="5"/>
  <c r="Q36" i="5" s="1"/>
  <c r="F35" i="5"/>
  <c r="I35" i="5" s="1"/>
  <c r="E35" i="5"/>
  <c r="D45" i="5" s="1"/>
  <c r="C67" i="2" s="1"/>
  <c r="I92" i="5"/>
  <c r="D36" i="5"/>
  <c r="G36" i="5" s="1"/>
  <c r="B57" i="5" s="1"/>
  <c r="B62" i="3" s="1"/>
  <c r="E34" i="5"/>
  <c r="D44" i="5" s="1"/>
  <c r="C66" i="2" s="1"/>
  <c r="M33" i="5"/>
  <c r="F31" i="5"/>
  <c r="E41" i="5" s="1"/>
  <c r="D63" i="2" s="1"/>
  <c r="U37" i="5"/>
  <c r="E85" i="5" s="1"/>
  <c r="H53" i="3" s="1"/>
  <c r="D34" i="5"/>
  <c r="C44" i="5" s="1"/>
  <c r="B66" i="2" s="1"/>
  <c r="C43" i="5"/>
  <c r="B65" i="2" s="1"/>
  <c r="Q34" i="5"/>
  <c r="F32" i="5"/>
  <c r="E42" i="5" s="1"/>
  <c r="D64" i="2" s="1"/>
  <c r="E37" i="5"/>
  <c r="N37" i="5" s="1"/>
  <c r="R37" i="5" s="1"/>
  <c r="D35" i="5"/>
  <c r="C45" i="5" s="1"/>
  <c r="B67" i="2" s="1"/>
  <c r="I34" i="5"/>
  <c r="E32" i="5"/>
  <c r="D42" i="5" s="1"/>
  <c r="C64" i="2" s="1"/>
  <c r="T32" i="5"/>
  <c r="T35" i="5"/>
  <c r="U35" i="5" s="1"/>
  <c r="E83" i="5" s="1"/>
  <c r="H51" i="3" s="1"/>
  <c r="E53" i="5"/>
  <c r="H58" i="3" s="1"/>
  <c r="J69" i="3"/>
  <c r="F183" i="8"/>
  <c r="F185" i="8" s="1"/>
  <c r="F186" i="8" s="1"/>
  <c r="F188" i="8" s="1"/>
  <c r="AN143" i="8"/>
  <c r="L220" i="8" s="1"/>
  <c r="L221" i="8" s="1"/>
  <c r="L222" i="8" s="1"/>
  <c r="Q13" i="7" s="1"/>
  <c r="R13" i="7" s="1"/>
  <c r="C17" i="5"/>
  <c r="D17" i="5" s="1"/>
  <c r="L85" i="8"/>
  <c r="L36" i="8"/>
  <c r="K70" i="8"/>
  <c r="K86" i="8"/>
  <c r="L86" i="8"/>
  <c r="C20" i="5"/>
  <c r="D20" i="5" s="1"/>
  <c r="L37" i="8"/>
  <c r="K44" i="8"/>
  <c r="L45" i="8"/>
  <c r="K69" i="8"/>
  <c r="L70" i="8"/>
  <c r="B54" i="5"/>
  <c r="B59" i="3" s="1"/>
  <c r="J33" i="5"/>
  <c r="B81" i="5" s="1"/>
  <c r="B49" i="3" s="1"/>
  <c r="C92" i="5"/>
  <c r="H95" i="8"/>
  <c r="O30" i="3" s="1"/>
  <c r="U30" i="3"/>
  <c r="K37" i="8"/>
  <c r="E188" i="8"/>
  <c r="E187" i="8"/>
  <c r="E23" i="7"/>
  <c r="J68" i="3"/>
  <c r="L78" i="8"/>
  <c r="K78" i="8"/>
  <c r="D95" i="8"/>
  <c r="O26" i="3" s="1"/>
  <c r="E88" i="2" s="1"/>
  <c r="U26" i="3"/>
  <c r="E95" i="8"/>
  <c r="O27" i="3" s="1"/>
  <c r="E89" i="2" s="1"/>
  <c r="U27" i="3"/>
  <c r="L184" i="8"/>
  <c r="L183" i="8"/>
  <c r="C95" i="8"/>
  <c r="O25" i="3" s="1"/>
  <c r="U25" i="3"/>
  <c r="K184" i="8"/>
  <c r="K183" i="8"/>
  <c r="L53" i="8"/>
  <c r="C16" i="5"/>
  <c r="D16" i="5" s="1"/>
  <c r="C15" i="5"/>
  <c r="D15" i="5" s="1"/>
  <c r="E36" i="5"/>
  <c r="G183" i="8"/>
  <c r="G184" i="8"/>
  <c r="L77" i="8"/>
  <c r="E31" i="5"/>
  <c r="C19" i="5"/>
  <c r="D19" i="5" s="1"/>
  <c r="C18" i="5"/>
  <c r="D18" i="5" s="1"/>
  <c r="AL143" i="8"/>
  <c r="J220" i="8" s="1"/>
  <c r="K52" i="8"/>
  <c r="L52" i="8"/>
  <c r="G95" i="8"/>
  <c r="O29" i="3" s="1"/>
  <c r="E91" i="2" s="1"/>
  <c r="U29" i="3"/>
  <c r="K45" i="8"/>
  <c r="F95" i="8"/>
  <c r="O28" i="3" s="1"/>
  <c r="U28" i="3"/>
  <c r="AJ102" i="8"/>
  <c r="AJ103" i="8"/>
  <c r="AJ134" i="8"/>
  <c r="AJ118" i="8"/>
  <c r="AJ107" i="8"/>
  <c r="AJ126" i="8"/>
  <c r="AJ125" i="8"/>
  <c r="AJ129" i="8"/>
  <c r="AJ106" i="8"/>
  <c r="AJ130" i="8"/>
  <c r="AJ136" i="8"/>
  <c r="AJ114" i="8"/>
  <c r="AJ110" i="8"/>
  <c r="AJ104" i="8"/>
  <c r="AJ138" i="8"/>
  <c r="AJ135" i="8"/>
  <c r="AJ128" i="8"/>
  <c r="AJ121" i="8"/>
  <c r="AJ141" i="8"/>
  <c r="AJ105" i="8"/>
  <c r="AJ133" i="8"/>
  <c r="AJ131" i="8"/>
  <c r="AJ111" i="8"/>
  <c r="AJ127" i="8"/>
  <c r="AJ116" i="8"/>
  <c r="AJ119" i="8"/>
  <c r="AJ140" i="8"/>
  <c r="AJ112" i="8"/>
  <c r="AJ139" i="8"/>
  <c r="AJ123" i="8"/>
  <c r="AJ109" i="8"/>
  <c r="AJ122" i="8"/>
  <c r="AJ115" i="8"/>
  <c r="AJ132" i="8"/>
  <c r="AJ113" i="8"/>
  <c r="AJ120" i="8"/>
  <c r="AJ108" i="8"/>
  <c r="AJ137" i="8"/>
  <c r="AJ124" i="8"/>
  <c r="AJ117" i="8"/>
  <c r="K53" i="8"/>
  <c r="E22" i="7"/>
  <c r="J67" i="3"/>
  <c r="L69" i="8"/>
  <c r="K77" i="8"/>
  <c r="H184" i="8"/>
  <c r="H183" i="8"/>
  <c r="D183" i="8"/>
  <c r="D184" i="8"/>
  <c r="K36" i="8"/>
  <c r="J184" i="8"/>
  <c r="J183" i="8"/>
  <c r="AM143" i="8"/>
  <c r="K220" i="8" s="1"/>
  <c r="C183" i="8"/>
  <c r="C184" i="8"/>
  <c r="L44" i="8"/>
  <c r="K85" i="8"/>
  <c r="I33" i="5" l="1"/>
  <c r="G92" i="5" s="1"/>
  <c r="E43" i="5"/>
  <c r="D65" i="2" s="1"/>
  <c r="U32" i="5"/>
  <c r="I75" i="3"/>
  <c r="H20" i="10"/>
  <c r="C75" i="3"/>
  <c r="H75" i="3"/>
  <c r="D21" i="10"/>
  <c r="E92" i="2"/>
  <c r="D24" i="10"/>
  <c r="E87" i="2"/>
  <c r="D19" i="10"/>
  <c r="D23" i="10"/>
  <c r="E90" i="2"/>
  <c r="D22" i="10"/>
  <c r="H35" i="5"/>
  <c r="E94" i="5" s="1"/>
  <c r="I94" i="5"/>
  <c r="D54" i="5"/>
  <c r="D59" i="3" s="1"/>
  <c r="H33" i="5"/>
  <c r="E92" i="5" s="1"/>
  <c r="N33" i="5"/>
  <c r="R33" i="5" s="1"/>
  <c r="H21" i="10"/>
  <c r="J89" i="2"/>
  <c r="H76" i="3"/>
  <c r="C76" i="3"/>
  <c r="I76" i="3"/>
  <c r="H25" i="10"/>
  <c r="Q35" i="5"/>
  <c r="E45" i="5"/>
  <c r="D67" i="2" s="1"/>
  <c r="E56" i="5"/>
  <c r="H61" i="3" s="1"/>
  <c r="L35" i="5"/>
  <c r="D83" i="5" s="1"/>
  <c r="D51" i="3" s="1"/>
  <c r="D56" i="5"/>
  <c r="D61" i="3" s="1"/>
  <c r="J31" i="5"/>
  <c r="B79" i="5" s="1"/>
  <c r="B47" i="3" s="1"/>
  <c r="G34" i="5"/>
  <c r="C93" i="5" s="1"/>
  <c r="M36" i="5"/>
  <c r="L37" i="5"/>
  <c r="G96" i="5"/>
  <c r="M34" i="5"/>
  <c r="J32" i="5"/>
  <c r="B80" i="5" s="1"/>
  <c r="B48" i="3" s="1"/>
  <c r="B52" i="5"/>
  <c r="B57" i="3" s="1"/>
  <c r="C91" i="5"/>
  <c r="J37" i="5"/>
  <c r="B85" i="5" s="1"/>
  <c r="B53" i="3" s="1"/>
  <c r="G93" i="5"/>
  <c r="Q32" i="5"/>
  <c r="B58" i="5"/>
  <c r="B63" i="3" s="1"/>
  <c r="Q31" i="5"/>
  <c r="I31" i="5"/>
  <c r="I32" i="5"/>
  <c r="D53" i="5" s="1"/>
  <c r="D58" i="3" s="1"/>
  <c r="N34" i="5"/>
  <c r="R34" i="5" s="1"/>
  <c r="M37" i="5"/>
  <c r="C47" i="5"/>
  <c r="B69" i="2" s="1"/>
  <c r="D58" i="5"/>
  <c r="D63" i="3" s="1"/>
  <c r="N32" i="5"/>
  <c r="R32" i="5" s="1"/>
  <c r="I91" i="5"/>
  <c r="H32" i="5"/>
  <c r="E91" i="5" s="1"/>
  <c r="D55" i="5"/>
  <c r="D60" i="3" s="1"/>
  <c r="L34" i="5"/>
  <c r="G94" i="5"/>
  <c r="D47" i="5"/>
  <c r="C69" i="2" s="1"/>
  <c r="G35" i="5"/>
  <c r="C94" i="5" s="1"/>
  <c r="N35" i="5"/>
  <c r="R35" i="5" s="1"/>
  <c r="H37" i="5"/>
  <c r="K37" i="5" s="1"/>
  <c r="H34" i="5"/>
  <c r="E93" i="5" s="1"/>
  <c r="C95" i="5"/>
  <c r="M35" i="5"/>
  <c r="I36" i="5"/>
  <c r="J36" i="5"/>
  <c r="B84" i="5" s="1"/>
  <c r="B52" i="3" s="1"/>
  <c r="E46" i="5"/>
  <c r="D68" i="2" s="1"/>
  <c r="C46" i="5"/>
  <c r="B68" i="2" s="1"/>
  <c r="C38" i="3"/>
  <c r="P13" i="7"/>
  <c r="F187" i="8"/>
  <c r="F189" i="8" s="1"/>
  <c r="F190" i="8" s="1"/>
  <c r="E189" i="8"/>
  <c r="E190" i="8" s="1"/>
  <c r="E192" i="8" s="1"/>
  <c r="K185" i="8"/>
  <c r="K186" i="8" s="1"/>
  <c r="K188" i="8" s="1"/>
  <c r="D185" i="8"/>
  <c r="D186" i="8" s="1"/>
  <c r="D188" i="8" s="1"/>
  <c r="H185" i="8"/>
  <c r="H186" i="8" s="1"/>
  <c r="H187" i="8" s="1"/>
  <c r="L185" i="8"/>
  <c r="L186" i="8" s="1"/>
  <c r="C39" i="3"/>
  <c r="K221" i="8"/>
  <c r="K222" i="8" s="1"/>
  <c r="Q12" i="7" s="1"/>
  <c r="R12" i="7" s="1"/>
  <c r="P12" i="7"/>
  <c r="D41" i="5"/>
  <c r="C63" i="2" s="1"/>
  <c r="H31" i="5"/>
  <c r="N31" i="5"/>
  <c r="R31" i="5" s="1"/>
  <c r="J185" i="8"/>
  <c r="J186" i="8" s="1"/>
  <c r="C41" i="3"/>
  <c r="G185" i="8"/>
  <c r="G186" i="8" s="1"/>
  <c r="D46" i="5"/>
  <c r="C68" i="2" s="1"/>
  <c r="H36" i="5"/>
  <c r="N36" i="5"/>
  <c r="R36" i="5" s="1"/>
  <c r="C37" i="3"/>
  <c r="J221" i="8"/>
  <c r="J222" i="8" s="1"/>
  <c r="Q11" i="7" s="1"/>
  <c r="R11" i="7" s="1"/>
  <c r="P11" i="7"/>
  <c r="AJ143" i="8"/>
  <c r="G220" i="8" s="1"/>
  <c r="C40" i="3"/>
  <c r="C185" i="8"/>
  <c r="C186" i="8" s="1"/>
  <c r="C42" i="3"/>
  <c r="L33" i="5" l="1"/>
  <c r="D81" i="5" s="1"/>
  <c r="D49" i="3" s="1"/>
  <c r="C53" i="5"/>
  <c r="C58" i="3" s="1"/>
  <c r="E80" i="5"/>
  <c r="H48" i="3" s="1"/>
  <c r="D75" i="3"/>
  <c r="I20" i="10"/>
  <c r="C77" i="3"/>
  <c r="H80" i="3"/>
  <c r="I77" i="3"/>
  <c r="H77" i="3"/>
  <c r="H22" i="10"/>
  <c r="J90" i="2"/>
  <c r="C78" i="3"/>
  <c r="H78" i="3"/>
  <c r="J91" i="2"/>
  <c r="I78" i="3"/>
  <c r="C56" i="5"/>
  <c r="C61" i="3" s="1"/>
  <c r="H23" i="10"/>
  <c r="K35" i="5"/>
  <c r="C83" i="5" s="1"/>
  <c r="C51" i="3" s="1"/>
  <c r="J93" i="2"/>
  <c r="I80" i="3"/>
  <c r="C80" i="3"/>
  <c r="C54" i="5"/>
  <c r="C59" i="3" s="1"/>
  <c r="K33" i="5"/>
  <c r="D76" i="3" s="1"/>
  <c r="I22" i="10"/>
  <c r="I25" i="10"/>
  <c r="K93" i="2"/>
  <c r="D80" i="3"/>
  <c r="H19" i="10"/>
  <c r="I74" i="3"/>
  <c r="J87" i="2"/>
  <c r="H74" i="3"/>
  <c r="C74" i="3"/>
  <c r="K91" i="2"/>
  <c r="L32" i="5"/>
  <c r="J88" i="2"/>
  <c r="C79" i="3"/>
  <c r="I79" i="3"/>
  <c r="J92" i="2"/>
  <c r="H79" i="3"/>
  <c r="J34" i="5"/>
  <c r="B82" i="5" s="1"/>
  <c r="B50" i="3" s="1"/>
  <c r="B55" i="5"/>
  <c r="B60" i="3" s="1"/>
  <c r="C55" i="5"/>
  <c r="C60" i="3" s="1"/>
  <c r="D85" i="5"/>
  <c r="D53" i="3" s="1"/>
  <c r="K34" i="5"/>
  <c r="C82" i="5" s="1"/>
  <c r="C50" i="3" s="1"/>
  <c r="D52" i="5"/>
  <c r="D57" i="3" s="1"/>
  <c r="C58" i="5"/>
  <c r="C63" i="3" s="1"/>
  <c r="E96" i="5"/>
  <c r="G90" i="5"/>
  <c r="L31" i="5"/>
  <c r="K32" i="5"/>
  <c r="C80" i="5" s="1"/>
  <c r="C48" i="3" s="1"/>
  <c r="D82" i="5"/>
  <c r="D50" i="3" s="1"/>
  <c r="G91" i="5"/>
  <c r="D57" i="5"/>
  <c r="D62" i="3" s="1"/>
  <c r="H24" i="10"/>
  <c r="L36" i="5"/>
  <c r="B56" i="5"/>
  <c r="B61" i="3" s="1"/>
  <c r="G95" i="5"/>
  <c r="J35" i="5"/>
  <c r="B83" i="5" s="1"/>
  <c r="B51" i="3" s="1"/>
  <c r="D80" i="5"/>
  <c r="D48" i="3" s="1"/>
  <c r="D187" i="8"/>
  <c r="D189" i="8" s="1"/>
  <c r="D190" i="8" s="1"/>
  <c r="K187" i="8"/>
  <c r="K189" i="8" s="1"/>
  <c r="K190" i="8" s="1"/>
  <c r="K191" i="8" s="1"/>
  <c r="E191" i="8"/>
  <c r="E193" i="8" s="1"/>
  <c r="E194" i="8" s="1"/>
  <c r="H188" i="8"/>
  <c r="H189" i="8" s="1"/>
  <c r="H190" i="8" s="1"/>
  <c r="F191" i="8"/>
  <c r="F192" i="8"/>
  <c r="G188" i="8"/>
  <c r="G187" i="8"/>
  <c r="C52" i="5"/>
  <c r="C57" i="3" s="1"/>
  <c r="K31" i="5"/>
  <c r="E90" i="5"/>
  <c r="J187" i="8"/>
  <c r="J188" i="8"/>
  <c r="G221" i="8"/>
  <c r="J29" i="3"/>
  <c r="E95" i="5"/>
  <c r="K36" i="5"/>
  <c r="C57" i="5"/>
  <c r="C62" i="3" s="1"/>
  <c r="C188" i="8"/>
  <c r="C187" i="8"/>
  <c r="L187" i="8"/>
  <c r="L188" i="8"/>
  <c r="C85" i="5"/>
  <c r="C53" i="3" s="1"/>
  <c r="C81" i="5" l="1"/>
  <c r="C49" i="3" s="1"/>
  <c r="K89" i="2"/>
  <c r="I23" i="10"/>
  <c r="D78" i="3"/>
  <c r="I21" i="10"/>
  <c r="K88" i="2"/>
  <c r="K90" i="2"/>
  <c r="D77" i="3"/>
  <c r="H11" i="10"/>
  <c r="I19" i="10"/>
  <c r="D74" i="3"/>
  <c r="K87" i="2"/>
  <c r="I24" i="10"/>
  <c r="D79" i="3"/>
  <c r="K92" i="2"/>
  <c r="H10" i="10"/>
  <c r="B10" i="10"/>
  <c r="C29" i="10" s="1"/>
  <c r="E11" i="10"/>
  <c r="D84" i="5"/>
  <c r="D52" i="3" s="1"/>
  <c r="D79" i="5"/>
  <c r="D47" i="3" s="1"/>
  <c r="E10" i="10"/>
  <c r="B11" i="10"/>
  <c r="B82" i="3"/>
  <c r="B84" i="3"/>
  <c r="G189" i="8"/>
  <c r="G190" i="8" s="1"/>
  <c r="G192" i="8" s="1"/>
  <c r="K192" i="8"/>
  <c r="K193" i="8" s="1"/>
  <c r="K194" i="8" s="1"/>
  <c r="K195" i="8" s="1"/>
  <c r="C189" i="8"/>
  <c r="C190" i="8" s="1"/>
  <c r="C191" i="8" s="1"/>
  <c r="B83" i="3"/>
  <c r="G222" i="8"/>
  <c r="K29" i="3" s="1"/>
  <c r="B41" i="3" s="1"/>
  <c r="T29" i="3"/>
  <c r="H192" i="8"/>
  <c r="H191" i="8"/>
  <c r="D191" i="8"/>
  <c r="D192" i="8"/>
  <c r="C79" i="5"/>
  <c r="C47" i="3" s="1"/>
  <c r="J189" i="8"/>
  <c r="J190" i="8" s="1"/>
  <c r="L189" i="8"/>
  <c r="L190" i="8" s="1"/>
  <c r="E195" i="8"/>
  <c r="E196" i="8"/>
  <c r="C84" i="5"/>
  <c r="C52" i="3" s="1"/>
  <c r="F193" i="8"/>
  <c r="F194" i="8" s="1"/>
  <c r="B36" i="10" l="1"/>
  <c r="C32" i="10"/>
  <c r="C31" i="10"/>
  <c r="C30" i="10"/>
  <c r="A13" i="10"/>
  <c r="B31" i="10"/>
  <c r="B30" i="10"/>
  <c r="B32" i="10"/>
  <c r="A36" i="10"/>
  <c r="B29" i="10"/>
  <c r="C84" i="3"/>
  <c r="D83" i="3"/>
  <c r="K196" i="8"/>
  <c r="K197" i="8" s="1"/>
  <c r="K198" i="8" s="1"/>
  <c r="G191" i="8"/>
  <c r="G193" i="8" s="1"/>
  <c r="G194" i="8" s="1"/>
  <c r="G195" i="8" s="1"/>
  <c r="H193" i="8"/>
  <c r="H194" i="8" s="1"/>
  <c r="H195" i="8" s="1"/>
  <c r="C192" i="8"/>
  <c r="C193" i="8" s="1"/>
  <c r="C194" i="8" s="1"/>
  <c r="C83" i="3"/>
  <c r="F195" i="8"/>
  <c r="F196" i="8"/>
  <c r="L192" i="8"/>
  <c r="L191" i="8"/>
  <c r="J192" i="8"/>
  <c r="J191" i="8"/>
  <c r="D193" i="8"/>
  <c r="D194" i="8" s="1"/>
  <c r="E197" i="8"/>
  <c r="E198" i="8" s="1"/>
  <c r="D32" i="10" l="1"/>
  <c r="C36" i="10" s="1"/>
  <c r="D30" i="10"/>
  <c r="D31" i="10"/>
  <c r="A7" i="2"/>
  <c r="A6" i="2"/>
  <c r="J193" i="8"/>
  <c r="J194" i="8" s="1"/>
  <c r="J195" i="8" s="1"/>
  <c r="G196" i="8"/>
  <c r="G197" i="8" s="1"/>
  <c r="G198" i="8" s="1"/>
  <c r="H196" i="8"/>
  <c r="H197" i="8" s="1"/>
  <c r="H198" i="8" s="1"/>
  <c r="A8" i="2"/>
  <c r="A5" i="2"/>
  <c r="C196" i="8"/>
  <c r="C195" i="8"/>
  <c r="E200" i="8"/>
  <c r="E199" i="8"/>
  <c r="D195" i="8"/>
  <c r="D196" i="8"/>
  <c r="L193" i="8"/>
  <c r="L194" i="8" s="1"/>
  <c r="K200" i="8"/>
  <c r="K199" i="8"/>
  <c r="F197" i="8"/>
  <c r="F198" i="8" s="1"/>
  <c r="A15" i="10" l="1"/>
  <c r="A14" i="10"/>
  <c r="G36" i="10"/>
  <c r="F36" i="10"/>
  <c r="E36" i="10"/>
  <c r="D36" i="10"/>
  <c r="J196" i="8"/>
  <c r="J197" i="8" s="1"/>
  <c r="J198" i="8" s="1"/>
  <c r="C197" i="8"/>
  <c r="C198" i="8" s="1"/>
  <c r="C200" i="8" s="1"/>
  <c r="E201" i="8"/>
  <c r="E202" i="8" s="1"/>
  <c r="E203" i="8" s="1"/>
  <c r="K201" i="8"/>
  <c r="K202" i="8" s="1"/>
  <c r="K204" i="8" s="1"/>
  <c r="G200" i="8"/>
  <c r="G199" i="8"/>
  <c r="H200" i="8"/>
  <c r="H199" i="8"/>
  <c r="L195" i="8"/>
  <c r="L196" i="8"/>
  <c r="D197" i="8"/>
  <c r="D198" i="8" s="1"/>
  <c r="F200" i="8"/>
  <c r="F199" i="8"/>
  <c r="C199" i="8" l="1"/>
  <c r="C201" i="8" s="1"/>
  <c r="C202" i="8" s="1"/>
  <c r="C203" i="8" s="1"/>
  <c r="H201" i="8"/>
  <c r="H202" i="8" s="1"/>
  <c r="H204" i="8" s="1"/>
  <c r="E204" i="8"/>
  <c r="E205" i="8" s="1"/>
  <c r="E206" i="8" s="1"/>
  <c r="E208" i="8" s="1"/>
  <c r="G201" i="8"/>
  <c r="G202" i="8" s="1"/>
  <c r="G203" i="8" s="1"/>
  <c r="F201" i="8"/>
  <c r="F202" i="8" s="1"/>
  <c r="F204" i="8" s="1"/>
  <c r="K203" i="8"/>
  <c r="K205" i="8" s="1"/>
  <c r="K206" i="8" s="1"/>
  <c r="K208" i="8" s="1"/>
  <c r="D200" i="8"/>
  <c r="D199" i="8"/>
  <c r="L197" i="8"/>
  <c r="L198" i="8" s="1"/>
  <c r="J200" i="8"/>
  <c r="J199" i="8"/>
  <c r="H203" i="8" l="1"/>
  <c r="H205" i="8" s="1"/>
  <c r="H206" i="8" s="1"/>
  <c r="H207" i="8" s="1"/>
  <c r="C204" i="8"/>
  <c r="C205" i="8" s="1"/>
  <c r="C206" i="8" s="1"/>
  <c r="G204" i="8"/>
  <c r="G205" i="8" s="1"/>
  <c r="G206" i="8" s="1"/>
  <c r="G207" i="8" s="1"/>
  <c r="J201" i="8"/>
  <c r="J202" i="8" s="1"/>
  <c r="J204" i="8" s="1"/>
  <c r="D201" i="8"/>
  <c r="D202" i="8" s="1"/>
  <c r="D204" i="8" s="1"/>
  <c r="F203" i="8"/>
  <c r="F205" i="8" s="1"/>
  <c r="F206" i="8" s="1"/>
  <c r="F207" i="8" s="1"/>
  <c r="K207" i="8"/>
  <c r="K209" i="8" s="1"/>
  <c r="K210" i="8" s="1"/>
  <c r="K212" i="8" s="1"/>
  <c r="E207" i="8"/>
  <c r="E209" i="8" s="1"/>
  <c r="E210" i="8" s="1"/>
  <c r="E211" i="8" s="1"/>
  <c r="L199" i="8"/>
  <c r="L200" i="8"/>
  <c r="H208" i="8" l="1"/>
  <c r="H209" i="8" s="1"/>
  <c r="H210" i="8" s="1"/>
  <c r="D203" i="8"/>
  <c r="D205" i="8" s="1"/>
  <c r="D206" i="8" s="1"/>
  <c r="J203" i="8"/>
  <c r="J205" i="8" s="1"/>
  <c r="J206" i="8" s="1"/>
  <c r="J208" i="8" s="1"/>
  <c r="E212" i="8"/>
  <c r="E213" i="8" s="1"/>
  <c r="G208" i="8"/>
  <c r="G209" i="8" s="1"/>
  <c r="G210" i="8" s="1"/>
  <c r="F208" i="8"/>
  <c r="F209" i="8" s="1"/>
  <c r="F210" i="8" s="1"/>
  <c r="K211" i="8"/>
  <c r="K213" i="8" s="1"/>
  <c r="K214" i="8" s="1"/>
  <c r="C208" i="8"/>
  <c r="C207" i="8"/>
  <c r="L201" i="8"/>
  <c r="L202" i="8" s="1"/>
  <c r="E214" i="8" l="1"/>
  <c r="E217" i="8" s="1"/>
  <c r="I27" i="3" s="1"/>
  <c r="E215" i="8"/>
  <c r="J207" i="8"/>
  <c r="J209" i="8" s="1"/>
  <c r="J210" i="8" s="1"/>
  <c r="C209" i="8"/>
  <c r="C210" i="8" s="1"/>
  <c r="C211" i="8" s="1"/>
  <c r="F212" i="8"/>
  <c r="F211" i="8"/>
  <c r="G212" i="8"/>
  <c r="G211" i="8"/>
  <c r="L204" i="8"/>
  <c r="L203" i="8"/>
  <c r="H212" i="8"/>
  <c r="H211" i="8"/>
  <c r="D208" i="8"/>
  <c r="D207" i="8"/>
  <c r="L205" i="8" l="1"/>
  <c r="L206" i="8" s="1"/>
  <c r="L207" i="8" s="1"/>
  <c r="G213" i="8"/>
  <c r="G214" i="8" s="1"/>
  <c r="H27" i="3"/>
  <c r="E216" i="8"/>
  <c r="C212" i="8"/>
  <c r="C213" i="8" s="1"/>
  <c r="D209" i="8"/>
  <c r="D210" i="8" s="1"/>
  <c r="D211" i="8" s="1"/>
  <c r="F213" i="8"/>
  <c r="H213" i="8"/>
  <c r="J212" i="8"/>
  <c r="J211" i="8"/>
  <c r="L208" i="8" l="1"/>
  <c r="L209" i="8" s="1"/>
  <c r="L210" i="8" s="1"/>
  <c r="F214" i="8"/>
  <c r="F217" i="8" s="1"/>
  <c r="I28" i="3" s="1"/>
  <c r="F215" i="8"/>
  <c r="AH141" i="8"/>
  <c r="AH117" i="8"/>
  <c r="AH102" i="8"/>
  <c r="AH126" i="8"/>
  <c r="AH111" i="8"/>
  <c r="AH138" i="8"/>
  <c r="AH105" i="8"/>
  <c r="AH125" i="8"/>
  <c r="AH132" i="8"/>
  <c r="AH131" i="8"/>
  <c r="AH139" i="8"/>
  <c r="AH110" i="8"/>
  <c r="AH130" i="8"/>
  <c r="AH108" i="8"/>
  <c r="AH116" i="8"/>
  <c r="AH121" i="8"/>
  <c r="AH109" i="8"/>
  <c r="AH120" i="8"/>
  <c r="AH119" i="8"/>
  <c r="AH123" i="8"/>
  <c r="AH133" i="8"/>
  <c r="AH104" i="8"/>
  <c r="AH124" i="8"/>
  <c r="AH136" i="8"/>
  <c r="AH140" i="8"/>
  <c r="AH127" i="8"/>
  <c r="AH135" i="8"/>
  <c r="AH113" i="8"/>
  <c r="AH122" i="8"/>
  <c r="AH112" i="8"/>
  <c r="AH114" i="8"/>
  <c r="AH137" i="8"/>
  <c r="AH118" i="8"/>
  <c r="AH128" i="8"/>
  <c r="AH106" i="8"/>
  <c r="AH107" i="8"/>
  <c r="AH115" i="8"/>
  <c r="AH129" i="8"/>
  <c r="AH134" i="8"/>
  <c r="AH103" i="8"/>
  <c r="D212" i="8"/>
  <c r="D213" i="8" s="1"/>
  <c r="J213" i="8"/>
  <c r="J214" i="8" s="1"/>
  <c r="H214" i="8"/>
  <c r="H217" i="8" s="1"/>
  <c r="I30" i="3" s="1"/>
  <c r="H215" i="8"/>
  <c r="C214" i="8"/>
  <c r="C217" i="8" s="1"/>
  <c r="I25" i="3" s="1"/>
  <c r="C215" i="8"/>
  <c r="AH143" i="8" l="1"/>
  <c r="E220" i="8" s="1"/>
  <c r="D214" i="8"/>
  <c r="D217" i="8" s="1"/>
  <c r="I26" i="3" s="1"/>
  <c r="D215" i="8"/>
  <c r="F216" i="8"/>
  <c r="H28" i="3"/>
  <c r="H25" i="3"/>
  <c r="C216" i="8"/>
  <c r="H30" i="3"/>
  <c r="H216" i="8"/>
  <c r="L212" i="8"/>
  <c r="L211" i="8"/>
  <c r="AI132" i="8" l="1"/>
  <c r="AI105" i="8"/>
  <c r="AI129" i="8"/>
  <c r="AI127" i="8"/>
  <c r="AI106" i="8"/>
  <c r="AI125" i="8"/>
  <c r="AI123" i="8"/>
  <c r="AI128" i="8"/>
  <c r="AI119" i="8"/>
  <c r="AI140" i="8"/>
  <c r="AI109" i="8"/>
  <c r="AI139" i="8"/>
  <c r="AI122" i="8"/>
  <c r="AI133" i="8"/>
  <c r="AI121" i="8"/>
  <c r="AI103" i="8"/>
  <c r="AI136" i="8"/>
  <c r="AI115" i="8"/>
  <c r="AI102" i="8"/>
  <c r="AI116" i="8"/>
  <c r="AI114" i="8"/>
  <c r="AI104" i="8"/>
  <c r="AI126" i="8"/>
  <c r="AI138" i="8"/>
  <c r="AI120" i="8"/>
  <c r="AI130" i="8"/>
  <c r="AI134" i="8"/>
  <c r="AI141" i="8"/>
  <c r="AI110" i="8"/>
  <c r="AI108" i="8"/>
  <c r="AI137" i="8"/>
  <c r="AI135" i="8"/>
  <c r="AI113" i="8"/>
  <c r="AI131" i="8"/>
  <c r="AI117" i="8"/>
  <c r="AI124" i="8"/>
  <c r="AI111" i="8"/>
  <c r="AI118" i="8"/>
  <c r="AI112" i="8"/>
  <c r="AI107" i="8"/>
  <c r="D216" i="8"/>
  <c r="H26" i="3"/>
  <c r="E221" i="8"/>
  <c r="J27" i="3"/>
  <c r="L213" i="8"/>
  <c r="L214" i="8" s="1"/>
  <c r="AK102" i="8"/>
  <c r="AK124" i="8"/>
  <c r="AK119" i="8"/>
  <c r="AK125" i="8"/>
  <c r="AK128" i="8"/>
  <c r="AK118" i="8"/>
  <c r="AK110" i="8"/>
  <c r="AK126" i="8"/>
  <c r="AK120" i="8"/>
  <c r="AK133" i="8"/>
  <c r="AK136" i="8"/>
  <c r="AK138" i="8"/>
  <c r="AK107" i="8"/>
  <c r="AK104" i="8"/>
  <c r="AK135" i="8"/>
  <c r="AK108" i="8"/>
  <c r="AK103" i="8"/>
  <c r="AK127" i="8"/>
  <c r="AK141" i="8"/>
  <c r="AK121" i="8"/>
  <c r="AK130" i="8"/>
  <c r="AK140" i="8"/>
  <c r="AK131" i="8"/>
  <c r="AK123" i="8"/>
  <c r="AK112" i="8"/>
  <c r="AK105" i="8"/>
  <c r="AK106" i="8"/>
  <c r="AK116" i="8"/>
  <c r="AK139" i="8"/>
  <c r="AK111" i="8"/>
  <c r="AK114" i="8"/>
  <c r="AK129" i="8"/>
  <c r="AK115" i="8"/>
  <c r="AK122" i="8"/>
  <c r="AK132" i="8"/>
  <c r="AK113" i="8"/>
  <c r="AK137" i="8"/>
  <c r="AK109" i="8"/>
  <c r="AK117" i="8"/>
  <c r="AK134" i="8"/>
  <c r="AF102" i="8"/>
  <c r="AF103" i="8"/>
  <c r="AF138" i="8"/>
  <c r="AF140" i="8"/>
  <c r="AF114" i="8"/>
  <c r="AF115" i="8"/>
  <c r="AF135" i="8"/>
  <c r="AF139" i="8"/>
  <c r="AF117" i="8"/>
  <c r="AF110" i="8"/>
  <c r="AF108" i="8"/>
  <c r="AF131" i="8"/>
  <c r="AF124" i="8"/>
  <c r="AF113" i="8"/>
  <c r="AF107" i="8"/>
  <c r="AF126" i="8"/>
  <c r="AF112" i="8"/>
  <c r="AF130" i="8"/>
  <c r="AF125" i="8"/>
  <c r="AF129" i="8"/>
  <c r="AF136" i="8"/>
  <c r="AF116" i="8"/>
  <c r="AF141" i="8"/>
  <c r="AF121" i="8"/>
  <c r="AF104" i="8"/>
  <c r="AF127" i="8"/>
  <c r="AF137" i="8"/>
  <c r="AF106" i="8"/>
  <c r="AF109" i="8"/>
  <c r="AF111" i="8"/>
  <c r="AF119" i="8"/>
  <c r="AF118" i="8"/>
  <c r="AF123" i="8"/>
  <c r="AF120" i="8"/>
  <c r="AF128" i="8"/>
  <c r="AF105" i="8"/>
  <c r="AF132" i="8"/>
  <c r="AF133" i="8"/>
  <c r="AF122" i="8"/>
  <c r="AF134" i="8"/>
  <c r="E222" i="8" l="1"/>
  <c r="K27" i="3" s="1"/>
  <c r="B39" i="3" s="1"/>
  <c r="T27" i="3"/>
  <c r="AI143" i="8"/>
  <c r="F220" i="8" s="1"/>
  <c r="AG113" i="8"/>
  <c r="AG119" i="8"/>
  <c r="AG120" i="8"/>
  <c r="AG136" i="8"/>
  <c r="AG126" i="8"/>
  <c r="AG112" i="8"/>
  <c r="AG140" i="8"/>
  <c r="AG139" i="8"/>
  <c r="AG130" i="8"/>
  <c r="AG117" i="8"/>
  <c r="AG114" i="8"/>
  <c r="AG127" i="8"/>
  <c r="AG135" i="8"/>
  <c r="AG118" i="8"/>
  <c r="AG108" i="8"/>
  <c r="AG125" i="8"/>
  <c r="AG123" i="8"/>
  <c r="AG129" i="8"/>
  <c r="AG105" i="8"/>
  <c r="AG133" i="8"/>
  <c r="AG122" i="8"/>
  <c r="AG103" i="8"/>
  <c r="AG116" i="8"/>
  <c r="AG106" i="8"/>
  <c r="AG134" i="8"/>
  <c r="AG109" i="8"/>
  <c r="AG132" i="8"/>
  <c r="AG128" i="8"/>
  <c r="AG107" i="8"/>
  <c r="AG141" i="8"/>
  <c r="AG104" i="8"/>
  <c r="AG121" i="8"/>
  <c r="AG124" i="8"/>
  <c r="AG111" i="8"/>
  <c r="AG137" i="8"/>
  <c r="AG115" i="8"/>
  <c r="AG102" i="8"/>
  <c r="AG138" i="8"/>
  <c r="AG110" i="8"/>
  <c r="AG131" i="8"/>
  <c r="AF143" i="8"/>
  <c r="C220" i="8" s="1"/>
  <c r="AK143" i="8"/>
  <c r="H220" i="8" s="1"/>
  <c r="AG143" i="8" l="1"/>
  <c r="D220" i="8" s="1"/>
  <c r="J26" i="3" s="1"/>
  <c r="F221" i="8"/>
  <c r="J28" i="3"/>
  <c r="H221" i="8"/>
  <c r="J30" i="3"/>
  <c r="C221" i="8"/>
  <c r="J25" i="3"/>
  <c r="D221" i="8" l="1"/>
  <c r="D222" i="8" s="1"/>
  <c r="K26" i="3" s="1"/>
  <c r="B38" i="3" s="1"/>
  <c r="F222" i="8"/>
  <c r="K28" i="3" s="1"/>
  <c r="B40" i="3" s="1"/>
  <c r="T28" i="3"/>
  <c r="C222" i="8"/>
  <c r="K25" i="3" s="1"/>
  <c r="B37" i="3" s="1"/>
  <c r="T25" i="3"/>
  <c r="H222" i="8"/>
  <c r="K30" i="3" s="1"/>
  <c r="B42" i="3" s="1"/>
  <c r="T30" i="3"/>
  <c r="T2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  <author>henry zumbrun</author>
  </authors>
  <commentList>
    <comment ref="A12" authorId="0" shapeId="0" xr:uid="{00000000-0006-0000-0200-000001000000}">
      <text>
        <r>
          <rPr>
            <sz val="10"/>
            <rFont val="Arial"/>
            <family val="2"/>
          </rPr>
          <t xml:space="preserve">henry zumbrun:
Simple Acceptence may not be applicable as in most cases it does not account for measurement uncertainty. </t>
        </r>
      </text>
    </comment>
    <comment ref="A18" authorId="1" shapeId="0" xr:uid="{DD366C5F-C17D-44AF-A0CB-F2B1967A88D1}">
      <text>
        <r>
          <rPr>
            <b/>
            <sz val="9"/>
            <color indexed="81"/>
            <rFont val="Tahoma"/>
            <family val="2"/>
          </rPr>
          <t>henry zumbrun:</t>
        </r>
        <r>
          <rPr>
            <sz val="9"/>
            <color indexed="81"/>
            <rFont val="Tahoma"/>
            <family val="2"/>
          </rPr>
          <t xml:space="preserve">
If you intend to use multiple load cells, check yes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henry zumbrun</author>
  </authors>
  <commentList>
    <comment ref="C24" authorId="0" shapeId="0" xr:uid="{732D6164-D147-4665-9CCD-4763231321B7}">
      <text>
        <r>
          <rPr>
            <b/>
            <sz val="10"/>
            <color indexed="81"/>
            <rFont val="Tahoma"/>
            <family val="2"/>
          </rPr>
          <t>henry zumbrun:</t>
        </r>
        <r>
          <rPr>
            <sz val="10"/>
            <color indexed="81"/>
            <rFont val="Tahoma"/>
            <family val="2"/>
          </rPr>
          <t xml:space="preserve">
Avg hours per calibration for BCM. Include setup, loading, data collection, documentation.</t>
        </r>
      </text>
    </comment>
    <comment ref="C25" authorId="0" shapeId="0" xr:uid="{250CED97-2DBE-4ED8-B0F8-6DD027DBA0A8}">
      <text>
        <r>
          <rPr>
            <b/>
            <sz val="10"/>
            <color indexed="81"/>
            <rFont val="Tahoma"/>
            <family val="2"/>
          </rPr>
          <t>henry zumbrun:</t>
        </r>
        <r>
          <rPr>
            <sz val="10"/>
            <color indexed="81"/>
            <rFont val="Tahoma"/>
            <family val="2"/>
          </rPr>
          <t xml:space="preserve">
Avg hours per calibration for PCM.</t>
        </r>
      </text>
    </comment>
    <comment ref="C26" authorId="0" shapeId="0" xr:uid="{30D2A36A-3960-41E5-A986-ABA293EC7CD7}">
      <text>
        <r>
          <rPr>
            <b/>
            <sz val="10"/>
            <color indexed="81"/>
            <rFont val="Tahoma"/>
            <family val="2"/>
          </rPr>
          <t>henry zumbrun:</t>
        </r>
        <r>
          <rPr>
            <sz val="10"/>
            <color indexed="81"/>
            <rFont val="Tahoma"/>
            <family val="2"/>
          </rPr>
          <t xml:space="preserve">
Avg hours per calibration for UCM Manual.</t>
        </r>
      </text>
    </comment>
    <comment ref="C27" authorId="0" shapeId="0" xr:uid="{05DA11CC-6018-4B77-9EDE-32355B155B30}">
      <text>
        <r>
          <rPr>
            <b/>
            <sz val="10"/>
            <color indexed="81"/>
            <rFont val="Tahoma"/>
            <family val="2"/>
          </rPr>
          <t>henry zumbrun:</t>
        </r>
        <r>
          <rPr>
            <sz val="10"/>
            <color indexed="81"/>
            <rFont val="Tahoma"/>
            <family val="2"/>
          </rPr>
          <t xml:space="preserve">
Avg hours per calibration for UCM Automated.</t>
        </r>
      </text>
    </comment>
    <comment ref="C28" authorId="0" shapeId="0" xr:uid="{8E2ED34B-A499-47DF-ADDD-FA97A879DCEB}">
      <text>
        <r>
          <rPr>
            <b/>
            <sz val="10"/>
            <color indexed="81"/>
            <rFont val="Tahoma"/>
            <family val="2"/>
          </rPr>
          <t>henry zumbrun:</t>
        </r>
        <r>
          <rPr>
            <sz val="10"/>
            <color indexed="81"/>
            <rFont val="Tahoma"/>
            <family val="2"/>
          </rPr>
          <t xml:space="preserve">
Avg hours per calibration for Deadweight.</t>
        </r>
      </text>
    </comment>
    <comment ref="C29" authorId="0" shapeId="0" xr:uid="{D91F7911-69DC-4B73-A18B-0085B0D07230}">
      <text>
        <r>
          <rPr>
            <b/>
            <sz val="10"/>
            <color indexed="81"/>
            <rFont val="Tahoma"/>
            <family val="2"/>
          </rPr>
          <t>henry zumbrun:</t>
        </r>
        <r>
          <rPr>
            <sz val="10"/>
            <color indexed="81"/>
            <rFont val="Tahoma"/>
            <family val="2"/>
          </rPr>
          <t xml:space="preserve">
Avg hours per calibration for Competitor 1.</t>
        </r>
      </text>
    </comment>
    <comment ref="C30" authorId="0" shapeId="0" xr:uid="{45BE2D9E-87F7-4813-A7F2-3F390BA8B5EF}">
      <text>
        <r>
          <rPr>
            <b/>
            <sz val="10"/>
            <color indexed="81"/>
            <rFont val="Tahoma"/>
            <family val="2"/>
          </rPr>
          <t>henry zumbrun:</t>
        </r>
        <r>
          <rPr>
            <sz val="10"/>
            <color indexed="81"/>
            <rFont val="Tahoma"/>
            <family val="2"/>
          </rPr>
          <t xml:space="preserve">
Avg hours per calibration for Competitor 2.</t>
        </r>
      </text>
    </comment>
  </commentList>
</comments>
</file>

<file path=xl/sharedStrings.xml><?xml version="1.0" encoding="utf-8"?>
<sst xmlns="http://schemas.openxmlformats.org/spreadsheetml/2006/main" count="1018" uniqueCount="700">
  <si>
    <t>The True Cost of Measurement Decisions</t>
  </si>
  <si>
    <t>Calculator &amp; Business Case Builder</t>
  </si>
  <si>
    <t>Morehouse Instrument Company — mhforce.com — (717) 843-0081</t>
  </si>
  <si>
    <t>Risk formulas validated against Sandia Primary Standards Lab bivariate normal integral (scipy dblquad).</t>
  </si>
  <si>
    <t>COLOR KEY</t>
  </si>
  <si>
    <t>Green text</t>
  </si>
  <si>
    <t>Editable input — you enter these values</t>
  </si>
  <si>
    <t>Black text</t>
  </si>
  <si>
    <t>Calculated — do not edit (formula will break)</t>
  </si>
  <si>
    <t>Column headers and section titles</t>
  </si>
  <si>
    <t>Gray italic text</t>
  </si>
  <si>
    <t>Notes, guidance, and documentation</t>
  </si>
  <si>
    <t>SHEET GUIDE</t>
  </si>
  <si>
    <t>Dashboard</t>
  </si>
  <si>
    <t>Start here. Enter cost inputs (labor rate, rework time, cals/yr), measurement inputs (tolerance, force), switching options, and profitability inputs (cal cost, price/cal, payback target). CMC per machine is a green input — changing it updates Range Analysis, Risk Calc, and all charts. Three charts: Annual Rework, Annual Profit, and Payback Period. Standard Switching summary and machine payback data at bottom.</t>
  </si>
  <si>
    <t>Summary</t>
  </si>
  <si>
    <t>Executive one-page overview. Dynamic recommendation paragraph, 5 charts (Rework, Profit, Total Cost, Payback, Standard Switching), and machine comparison table. All formula-driven — updates when Dashboard inputs change.</t>
  </si>
  <si>
    <t>Range Analysis</t>
  </si>
  <si>
    <t>Enter your actual force range (high/low), tolerance at each end, and CMC at each end per machine. CMC@High (col E) is wired to Dashboard — edit there. CMC@Low (col H) is a separate input on this sheet. Dual-point rework uses the WORST of PFR@High and PFR@Low. Includes the CMC Optimizer (Target TUR Reverse Calculator), Cell Sizing Calculator (auto cells/swaps), What-If Tolerance comparison, and CMC Sensitivity table with Savings vs BCM analysis.</t>
  </si>
  <si>
    <t>Breakeven</t>
  </si>
  <si>
    <t>Full business case: machine prices, upgrade deltas, profitability per machine (Revenue − Equipment Cost − Labor), payback periods. Includes Hrs/Cal per machine for labor cost modeling. Charts: Annual Profit and Payback Period.</t>
  </si>
  <si>
    <t>Guard Band Analysis</t>
  </si>
  <si>
    <t>Shows tolerance consumed by Specific Risk and Method 6 guard bands at 10 TUR levels. Chart: Tolerance Consumed by Specific Risk Guard Band vs M6 Guard Band. At TUR 4.6:1, Method 6 guard band drops to zero — full tolerance usable.</t>
  </si>
  <si>
    <t>Standard Switching</t>
  </si>
  <si>
    <t>Compares loading strategies (5%, 10%, 20%) with swap costs. Shows cells needed, swaps, swap cost, cal cost, rework, and total per loading level. Stacked bar chart: Annual Cost by Loading Strategy.</t>
  </si>
  <si>
    <t>Risk Calc</t>
  </si>
  <si>
    <t>The math engine. Bivariate normal integration for PFR, bisection solver for Global guard band, Method 6 deterministic formula, Specific Risk fixed multiplier. Single-point (Dashboard) and dual-point (Range Analysis) grids. CMC Sensitivity x-grid for the cost curve. Do not edit unless you understand the math.</t>
  </si>
  <si>
    <t>Validation</t>
  </si>
  <si>
    <t>Scipy comparison for all formulas. Used during development to verify accuracy.</t>
  </si>
  <si>
    <t>INPUT REFERENCE</t>
  </si>
  <si>
    <t>Hourly Labor Rate</t>
  </si>
  <si>
    <t>Fully loaded labor cost including overhead. Default: $150/hr.</t>
  </si>
  <si>
    <t>Dashboard B7</t>
  </si>
  <si>
    <t>Rework Time</t>
  </si>
  <si>
    <t>Minutes per false reject event (investigation, retest, documentation). Default: 45 min.</t>
  </si>
  <si>
    <t>Dashboard B8</t>
  </si>
  <si>
    <t>Calibrations per Year</t>
  </si>
  <si>
    <t>Total calibrations performed annually. Drives all cost calculations. Default: 1,200.</t>
  </si>
  <si>
    <t>Dashboard B10</t>
  </si>
  <si>
    <t>EOPR</t>
  </si>
  <si>
    <t>End-of-Period Reliability: fraction in tolerance at end of cal interval. Default: 89% (ANSI/NCSL Z540.3 threshold, NASA standard).</t>
  </si>
  <si>
    <t>Dashboard B11</t>
  </si>
  <si>
    <t>Device Tolerance (%)</t>
  </si>
  <si>
    <t>Dashboard B14</t>
  </si>
  <si>
    <t>Applied Force (lbf)</t>
  </si>
  <si>
    <t>The force point for the single-point comparison on the Dashboard.</t>
  </si>
  <si>
    <t>Dashboard B15</t>
  </si>
  <si>
    <t>Standard Switching Required?</t>
  </si>
  <si>
    <t>Yes/No dropdown. "Yes" = lab swaps reference cells mid-run (auto-calculated swap cost). "No" = matched capacity references, zero swaps.</t>
  </si>
  <si>
    <t>Dashboard B18</t>
  </si>
  <si>
    <t>Swap Time per Change (min)</t>
  </si>
  <si>
    <t>Time to swap one reference cell. Default: 30 min.</t>
  </si>
  <si>
    <t>Dashboard B19</t>
  </si>
  <si>
    <t>Cal Cost per Cell ($/yr)</t>
  </si>
  <si>
    <t>Annual calibration cost per reference load cell. Default: $2,000.</t>
  </si>
  <si>
    <t>Dashboard B21</t>
  </si>
  <si>
    <t>Price per Calibration ($)</t>
  </si>
  <si>
    <t>What you charge customers per calibration. Drives revenue and profitability.</t>
  </si>
  <si>
    <t>Dashboard B22</t>
  </si>
  <si>
    <t>Target Payback (years)</t>
  </si>
  <si>
    <t>Desired years to recoup machine investment.</t>
  </si>
  <si>
    <t>Dashboard B23</t>
  </si>
  <si>
    <t>CMC (%) per machine</t>
  </si>
  <si>
    <t>Dashboard B25:B31</t>
  </si>
  <si>
    <t>Target TUR for Cell Sizing</t>
  </si>
  <si>
    <t>TUR each reference cell must maintain across the range. Drives auto cell/swap count. Lower = fewer cells, more rework.</t>
  </si>
  <si>
    <t>Range Analysis B13</t>
  </si>
  <si>
    <t>CMC@Low (%) per machine</t>
  </si>
  <si>
    <t>CMC at the low force point. Separate from Dashboard CMC. Must be set on Range Analysis for accurate dual-point results.</t>
  </si>
  <si>
    <t>Range Analysis H24:H30</t>
  </si>
  <si>
    <t>What-If Tolerance (%)</t>
  </si>
  <si>
    <t>A second tolerance for side-by-side TUR comparison. E.g., 0.025% for reference-grade.</t>
  </si>
  <si>
    <t>Range Analysis B21</t>
  </si>
  <si>
    <t>Show Simple Acceptance?</t>
  </si>
  <si>
    <t>Dashboard B12</t>
  </si>
  <si>
    <t>Max Capacity (lbf) per machine</t>
  </si>
  <si>
    <t>Dashboard T25:T31</t>
  </si>
  <si>
    <t>Hrs/Cal per machine</t>
  </si>
  <si>
    <t>Breakeven O31:O37</t>
  </si>
  <si>
    <t>DECISION RULES EXPLAINED</t>
  </si>
  <si>
    <t>Global (PFA ≤ 2%)</t>
  </si>
  <si>
    <t>Guard band width set so average PFA across the population is ≤ 2%. Uses bisection solver (10 iterations). Most permissive — widest acceptance zone.</t>
  </si>
  <si>
    <t>Method 6 (Dobbert)</t>
  </si>
  <si>
    <t>Guard band from the Dobbert formula: M = max(0, 1.04 − e^(0.38·ln(TUR) − 0.54)). At TUR ≥ 4.6:1, guard band = 0. ANSI/NCSL Z540.3 default.</t>
  </si>
  <si>
    <t>Specific Risk</t>
  </si>
  <si>
    <t>Guard band = 0.98 × U. Most conservative — controls PFA to ≤ 2.5% per side at each individual measurement. Highest rework cost.</t>
  </si>
  <si>
    <t>Simple Acceptance (Shared Risk)</t>
  </si>
  <si>
    <t>No guard band (GB = 0). Full tolerance as acceptance limit. Lowest PFR but highest PFA — customer bears all risk. Up to 50% PFA at low TUR. Toggle: Dashboard B12. Default: hidden.</t>
  </si>
  <si>
    <t>HOW TO USE THE CMC OPTIMIZER</t>
  </si>
  <si>
    <t>1. Go to Range Analysis, rows 14-20 (CMC OPTIMIZER section).</t>
  </si>
  <si>
    <t>2. Enter your desired TUR at the low force point in B17. The calculator shows the Required CMC and U.</t>
  </si>
  <si>
    <t>3. It also shows the TUR at the high force point with the same CMC — this tells you how much headroom you have.</t>
  </si>
  <si>
    <t>4. The CMC Sensitivity table (rows 52-68) shows annual cost at 14 CMC levels.</t>
  </si>
  <si>
    <t>5. "Savings vs BCM" (col M) shows cumulative savings from upgrading beyond 0.04% CMC.</t>
  </si>
  <si>
    <t>6. "Savings per 0.01% CMC" (col N) shows the rate of return — when this drops, further improvement yields diminishing returns.</t>
  </si>
  <si>
    <t>7. The Cell Sizing Calculator (rows 75+) shows how many reference cells each machine needs at the Target TUR.</t>
  </si>
  <si>
    <t>CELL SIZING &amp; STANDARD SWITCHING</t>
  </si>
  <si>
    <t>The calculator auto-sizes reference cells using a CMC curve model estimated from CMC@High and CMC@Low.</t>
  </si>
  <si>
    <t>It calculates the force point where each machine's CMC crosses the Required CMC (= Tolerance / Target TUR).</t>
  </si>
  <si>
    <t>From this "swap force," it determines cells needed to cover the full range.</t>
  </si>
  <si>
    <t>When "Standard Switching Required?" = Yes, Swaps = Cells − 1. When No, Swaps = 0 (matched capacity).</t>
  </si>
  <si>
    <t>Change Target TUR on Range Analysis B13 to explore: lower TUR = fewer cells but more rework.</t>
  </si>
  <si>
    <t>EOPR BASELINE</t>
  </si>
  <si>
    <t>Default: 89%. This is the ANSI/NCSL Z540.3 threshold (PFA ≤ 2% at TUR 4.6:1) and the NASA standard.</t>
  </si>
  <si>
    <t>EOPR should be based on: (1) OEM stated reliability at the cal interval, or (2) historical drift data when worse than OEM spec.</t>
  </si>
  <si>
    <t>The commonly cited 85% originated from a U.S. Navy Corona fleet-wide assumption across all M&amp;TE and does not reflect controlled force calibration equipment.</t>
  </si>
  <si>
    <t>TECHNICAL NOTES</t>
  </si>
  <si>
    <t>•  PFA and PFR are unconditional probabilities computed via numerical integration of the bivariate normal (Sandia PSL method).</t>
  </si>
  <si>
    <t>•  Integration uses 40-point trapezoidal rule for PFR (accuracy &lt; 0.05% vs scipy at TUR ≥ 1.5) and 30-point midpoint for PFA.</t>
  </si>
  <si>
    <t>•  EOPR determines the process standard deviation: σ_product = Tolerance / NORMINV((1+EOPR)/2).</t>
  </si>
  <si>
    <t>•  All four decision rules use the same EOPR and the same integral — only the guard band formula differs. Simple Acceptance uses GB = 0.</t>
  </si>
  <si>
    <t>•  Dashboard inputs (Tolerance, CMC, EOPR, labor, cals) flow to Range Analysis and Risk Calc. CMC@Low and Tol@Low are separate RA inputs for the dual-point analysis.</t>
  </si>
  <si>
    <t>•  Cell sizing uses a 1/F + offset CMC model estimated from the two data points (CMC@High and CMC@Low).</t>
  </si>
  <si>
    <t>•  No Excel LAMBDA functions are used. Compatible with Excel 2016+ and LibreOffice (use NORMSINV, not NORM.S.INV).</t>
  </si>
  <si>
    <t>•  Validated against Sandia PSL PFA Risk Calculator (SAND2025-10736O) and scipy.integrate.dblquad.</t>
  </si>
  <si>
    <t>THE TRUE COST OF MEASUREMENT DECISIONS — EXECUTIVE SUMMARY</t>
  </si>
  <si>
    <t>Morehouse Instrument Company — ISO/IEC 17025 Accredited — NVLAP 600259 — A2LA 1398.01</t>
  </si>
  <si>
    <t>Tolerance:</t>
  </si>
  <si>
    <t>EOPR:</t>
  </si>
  <si>
    <t>Labor:</t>
  </si>
  <si>
    <t>Cals/yr:</t>
  </si>
  <si>
    <t>Swap:</t>
  </si>
  <si>
    <t>Price/Cal:</t>
  </si>
  <si>
    <t>RECOMMENDATION</t>
  </si>
  <si>
    <t>Annual Rework by Decision Rule</t>
  </si>
  <si>
    <t>Annual Profit by Machine</t>
  </si>
  <si>
    <t>Total Annual Cost (Rework + Cal + Swap)</t>
  </si>
  <si>
    <t>Payback Period (Years)</t>
  </si>
  <si>
    <t>Standard Switching: Cost by Loading Strategy</t>
  </si>
  <si>
    <t>MACHINE COMPARISON AT A GLANCE</t>
  </si>
  <si>
    <t>Machine</t>
  </si>
  <si>
    <t>CMC (%)</t>
  </si>
  <si>
    <t>TUR</t>
  </si>
  <si>
    <t>PFR (M6)</t>
  </si>
  <si>
    <t>Rework/yr</t>
  </si>
  <si>
    <t>Cal/yr</t>
  </si>
  <si>
    <t>Swap/yr</t>
  </si>
  <si>
    <t>Total Cost</t>
  </si>
  <si>
    <t>Revenue</t>
  </si>
  <si>
    <t>Profit (M6)</t>
  </si>
  <si>
    <t>Payback</t>
  </si>
  <si>
    <t>Viable?</t>
  </si>
  <si>
    <t>Hrs/Cal</t>
  </si>
  <si>
    <t>Labor/yr</t>
  </si>
  <si>
    <t>Generated by the Morehouse True Cost Calculator. Figures are estimates based on user inputs.</t>
  </si>
  <si>
    <t xml:space="preserve">The True Cost of Measurement Decisions </t>
  </si>
  <si>
    <t>Calculator from Morehouse Instrument Company</t>
  </si>
  <si>
    <t>Risk calculated via Sandia PSL bivariate normal integral (no lookup tables).</t>
  </si>
  <si>
    <t>COST INPUTS</t>
  </si>
  <si>
    <t>Hourly Labor Rate ($/hr)</t>
  </si>
  <si>
    <t>Rework Time per Event (minutes)</t>
  </si>
  <si>
    <t>Rework Cost per Event ($)</t>
  </si>
  <si>
    <t>EOPR (In-Tolerance Probability)</t>
  </si>
  <si>
    <t>Yes</t>
  </si>
  <si>
    <t>MEASUREMENT INPUTS</t>
  </si>
  <si>
    <t>Tolerance in Force Units (lbf)</t>
  </si>
  <si>
    <t>SWITCHING OPTIONS</t>
  </si>
  <si>
    <t>PROFITABILITY INPUTS</t>
  </si>
  <si>
    <t>U (lbf)</t>
  </si>
  <si>
    <t>GB Global</t>
  </si>
  <si>
    <t>PFA Glob</t>
  </si>
  <si>
    <t>PFR Glob</t>
  </si>
  <si>
    <t>RW Glob</t>
  </si>
  <si>
    <t>GB M6</t>
  </si>
  <si>
    <t>PFA M6</t>
  </si>
  <si>
    <t>PFR M6</t>
  </si>
  <si>
    <t>RW M6</t>
  </si>
  <si>
    <t>GB Spec</t>
  </si>
  <si>
    <t>PFA Spec</t>
  </si>
  <si>
    <t>PFR Spec</t>
  </si>
  <si>
    <t>RW Spec</t>
  </si>
  <si>
    <t>FR/yr Glob</t>
  </si>
  <si>
    <t>FR/yr M6</t>
  </si>
  <si>
    <t>FR/yr Spec</t>
  </si>
  <si>
    <t>Max Cap
(lbf)</t>
  </si>
  <si>
    <t>Available?</t>
  </si>
  <si>
    <t>PFR
Simple</t>
  </si>
  <si>
    <t>RW
Simple</t>
  </si>
  <si>
    <t>BCM</t>
  </si>
  <si>
    <t>PCM</t>
  </si>
  <si>
    <t>UCM Manual</t>
  </si>
  <si>
    <t>UCM Automated</t>
  </si>
  <si>
    <t>Deadweight</t>
  </si>
  <si>
    <t>Competitor 1</t>
  </si>
  <si>
    <t>Competitor 2</t>
  </si>
  <si>
    <t>All PFA/PFR computed via Sandia PSL bivariate normal integral (trapezoidal rule, no lookup tables).</t>
  </si>
  <si>
    <t>Global: guard band set so PFA ≤ target (bisection solver). M6: Dobbert formula. Specific: h=0.98×U.</t>
  </si>
  <si>
    <t>EOPR determines σ_product. All three models use same EOPR and same integral—only guard band width differs.</t>
  </si>
  <si>
    <t>CHART DATA</t>
  </si>
  <si>
    <t>Global (PFA≤2%)</t>
  </si>
  <si>
    <t>Method 6</t>
  </si>
  <si>
    <t>Simple Accept</t>
  </si>
  <si>
    <t>MACHINE PAYBACK DATA (capped at 20yr for display)</t>
  </si>
  <si>
    <t>Payback (Global)</t>
  </si>
  <si>
    <t>Payback (M6)</t>
  </si>
  <si>
    <t>Payback (Specific)</t>
  </si>
  <si>
    <t>Payback (Simple)</t>
  </si>
  <si>
    <t>ANNUAL PROFIT DATA</t>
  </si>
  <si>
    <t>Profit (Global)</t>
  </si>
  <si>
    <t>Profit (Specific)</t>
  </si>
  <si>
    <t>Profit (Simple)</t>
  </si>
  <si>
    <t>STANDARD SWITCHING SUMMARY</t>
  </si>
  <si>
    <t>Min Loading</t>
  </si>
  <si>
    <t>Cells</t>
  </si>
  <si>
    <t>Swaps/Run</t>
  </si>
  <si>
    <t>Swap $/Cal</t>
  </si>
  <si>
    <t>Swap $/yr</t>
  </si>
  <si>
    <t>Cal $/yr</t>
  </si>
  <si>
    <t>Total M6/yr</t>
  </si>
  <si>
    <t>5% (UPC)</t>
  </si>
  <si>
    <t>10% (PC)</t>
  </si>
  <si>
    <t>20% (Commercial)</t>
  </si>
  <si>
    <t>RECOMMENDATION HELPERS (hidden from print)</t>
  </si>
  <si>
    <t>Profit M6</t>
  </si>
  <si>
    <t>Payback M6</t>
  </si>
  <si>
    <t>Profit Rank</t>
  </si>
  <si>
    <t>Worst Helper</t>
  </si>
  <si>
    <t>TUR Helper</t>
  </si>
  <si>
    <t>TUR Max Help</t>
  </si>
  <si>
    <t>Available count</t>
  </si>
  <si>
    <t>Profitable (avail)</t>
  </si>
  <si>
    <t>Best profit</t>
  </si>
  <si>
    <t>Worst profit (avail)</t>
  </si>
  <si>
    <t>Min TUR (avail)</t>
  </si>
  <si>
    <t>Max TUR (avail)</t>
  </si>
  <si>
    <t>Range Analysis — Full Cost at High and Low Force Points</t>
  </si>
  <si>
    <t>Enter your operating range, CMC at each end, swaps per machine. Risk via Sandia bivariate integral.</t>
  </si>
  <si>
    <t>RANGE INPUTS</t>
  </si>
  <si>
    <t>DERIVED</t>
  </si>
  <si>
    <t>High Force (lbf)</t>
  </si>
  <si>
    <t>Tol @ High (lbf)</t>
  </si>
  <si>
    <t>Low Force (lbf)</t>
  </si>
  <si>
    <t>Tol @ Low (lbf)</t>
  </si>
  <si>
    <t>Tolerance @ High (%)</t>
  </si>
  <si>
    <t>σ_p @ High</t>
  </si>
  <si>
    <t>Tolerance @ Low (%)</t>
  </si>
  <si>
    <t>σ_p @ Low</t>
  </si>
  <si>
    <t>CMC OPTIMIZER</t>
  </si>
  <si>
    <t>TARGET TUR REVERSE CALCULATOR</t>
  </si>
  <si>
    <t>Desired TUR at Low Force</t>
  </si>
  <si>
    <t>To achieve your target TUR at the low force point,</t>
  </si>
  <si>
    <t>Required CMC (%)</t>
  </si>
  <si>
    <t>you need a reference standard with this CMC or better.</t>
  </si>
  <si>
    <t>Required U at Low (lbf)</t>
  </si>
  <si>
    <t>TUR at High Force (same CMC)</t>
  </si>
  <si>
    <t>Enter a second tolerance to compare (e.g., 0.025% for reference-grade)</t>
  </si>
  <si>
    <t>MACHINE COMPARISON</t>
  </si>
  <si>
    <t>Price ($)</t>
  </si>
  <si>
    <t>CMC
@ High (%)</t>
  </si>
  <si>
    <t>U
@ High</t>
  </si>
  <si>
    <t>TUR
@ High</t>
  </si>
  <si>
    <t>CMC
@ Low (%)</t>
  </si>
  <si>
    <t>U
@ Low</t>
  </si>
  <si>
    <t>TUR
@ Low</t>
  </si>
  <si>
    <t>PFR Glob
@ Worst</t>
  </si>
  <si>
    <t>PFR M6
@ Worst</t>
  </si>
  <si>
    <t>PFR Spec
@ Worst</t>
  </si>
  <si>
    <t>Total
Glob</t>
  </si>
  <si>
    <t>Total
M6</t>
  </si>
  <si>
    <t>Total
Spec</t>
  </si>
  <si>
    <t>What-If
Tol (lbf)</t>
  </si>
  <si>
    <t>TUR @
What-If Hi</t>
  </si>
  <si>
    <t>TUR @
What-If Lo</t>
  </si>
  <si>
    <t>RW M6 @
What-If</t>
  </si>
  <si>
    <t>Total M6 @
What-If</t>
  </si>
  <si>
    <t>CMC Model
a</t>
  </si>
  <si>
    <t>CMC Model
b</t>
  </si>
  <si>
    <t>Req CMC
(%)</t>
  </si>
  <si>
    <t>Swap Force
(lbf)</t>
  </si>
  <si>
    <t>Auto
Cells</t>
  </si>
  <si>
    <t>Auto
Swaps</t>
  </si>
  <si>
    <t>Competitor</t>
  </si>
  <si>
    <t>Global</t>
  </si>
  <si>
    <t>Notes:</t>
  </si>
  <si>
    <t>CMC SENSITIVITY TABLE</t>
  </si>
  <si>
    <t>CMC SENSITIVITY — Annual Cost vs. CMC at Low Force Point</t>
  </si>
  <si>
    <t>PFR
Global</t>
  </si>
  <si>
    <t>PFR
M6</t>
  </si>
  <si>
    <t>PFR
Specific</t>
  </si>
  <si>
    <t>Rework
Global</t>
  </si>
  <si>
    <t>Rework
M6</t>
  </si>
  <si>
    <t>Rework
Specific</t>
  </si>
  <si>
    <t>Total
Global*</t>
  </si>
  <si>
    <t>Total
M6*</t>
  </si>
  <si>
    <t>Total
Specific*</t>
  </si>
  <si>
    <t>Savings vs
BCM (M6)</t>
  </si>
  <si>
    <t>Savings per
0.01% CMC</t>
  </si>
  <si>
    <t>—</t>
  </si>
  <si>
    <t>CELL SIZING CALCULATOR</t>
  </si>
  <si>
    <t>How many reference cells does each machine need to cover the full range at the Target TUR? Based on CMC curve interpolation from CMC@High and CMC@Low.</t>
  </si>
  <si>
    <t>CMC@Hi</t>
  </si>
  <si>
    <t>CMC@Lo</t>
  </si>
  <si>
    <t>Req CMC</t>
  </si>
  <si>
    <t>Swap Force</t>
  </si>
  <si>
    <t>Swaps</t>
  </si>
  <si>
    <t>Total $/yr</t>
  </si>
  <si>
    <t>Target TUR (B13) controls how far down in a cell's range the CMC remains adequate. Lower TUR targets need fewer cells but accept more rework. The CMC model estimates CMC at any force from the two data points (CMC@High and CMC@Low) using a 1/F + offset curve. "N/V" means the machine cannot achieve the target TUR even at its best point.</t>
  </si>
  <si>
    <t>When "Standard Switching Required?" = Yes on Dashboard, swaps are calculated. When No (matched capacity), cells are still needed but swaps = 0 — you buy matched reference cells for each sub-range.</t>
  </si>
  <si>
    <t>EOPR SENSITIVITY — How Recommended CMC Changes with EOPR</t>
  </si>
  <si>
    <t>Shows the optimal CMC at the low force point for different EOPR assumptions.</t>
  </si>
  <si>
    <t>σ_product</t>
  </si>
  <si>
    <t>Req CMC for TUR 4:1</t>
  </si>
  <si>
    <t>M6 Rework @ TUR 3</t>
  </si>
  <si>
    <t>M6 Rework @ TUR 4</t>
  </si>
  <si>
    <t>M6 Rework @ TUR 5</t>
  </si>
  <si>
    <t>At lower EOPR, more items are near the tolerance edge → PFR increases → rework goes up → the optimal CMC shifts lower (need better equipment).</t>
  </si>
  <si>
    <t>REFERENCE CELL COVERAGE CALCULATOR</t>
  </si>
  <si>
    <t>How many reference cells do you need to cover your range at your target TUR?</t>
  </si>
  <si>
    <t>INPUTS</t>
  </si>
  <si>
    <t>Target TUR</t>
  </si>
  <si>
    <t>Min Loading (%)</t>
  </si>
  <si>
    <t>RESULTS</t>
  </si>
  <si>
    <t>Required CMC at Low Force (%)</t>
  </si>
  <si>
    <t>Number of Cells Needed</t>
  </si>
  <si>
    <t>Swaps per Run</t>
  </si>
  <si>
    <t>Annual Swap Cost</t>
  </si>
  <si>
    <t>CELL CHAIN DETAIL</t>
  </si>
  <si>
    <t>Cell #</t>
  </si>
  <si>
    <t>Capacity (lbf)</t>
  </si>
  <si>
    <t>Covers Down To</t>
  </si>
  <si>
    <t>TUR at Bottom</t>
  </si>
  <si>
    <t>Covers Low?</t>
  </si>
  <si>
    <t>HOW THIS WORKS</t>
  </si>
  <si>
    <t>Cell 1 starts at High Force and covers down to Capacity × Min Loading %.</t>
  </si>
  <si>
    <t>If that doesn't reach Low Force, Cell 2 picks up where Cell 1 left off.</t>
  </si>
  <si>
    <t>Each additional cell = one swap per calibration run.</t>
  </si>
  <si>
    <t>At 5%: 10,000 → 500 → 25 = 2 cells, 1 swap. At 10%: 3 cells. At 20%: 4+ cells.</t>
  </si>
  <si>
    <t>Better load cells (lower min loading %) = fewer cells = fewer swaps = lower cost.</t>
  </si>
  <si>
    <t>Shows M6 rework at the low force point for different EOPR assumptions.</t>
  </si>
  <si>
    <t>Req CMC
for TUR 4:1</t>
  </si>
  <si>
    <t>M6 Rework
@ TUR 3</t>
  </si>
  <si>
    <t>M6 Rework
@ TUR 4</t>
  </si>
  <si>
    <t>M6 Rework
@ TUR 5</t>
  </si>
  <si>
    <t>At lower EOPR, more items are near the tolerance edge → PFR increases → you need better equipment to achieve the same cost.</t>
  </si>
  <si>
    <t>Breakeven Analysis — Machine Investment Payback</t>
  </si>
  <si>
    <t>Prices from Range Analysis. Savings = difference in total annual cost. Toggle swap cost on Dashboard.</t>
  </si>
  <si>
    <t>MACHINE ANNUAL COST SUMMARY</t>
  </si>
  <si>
    <t>Price</t>
  </si>
  <si>
    <t>Total Glob/yr</t>
  </si>
  <si>
    <t>Total Spec/yr</t>
  </si>
  <si>
    <t>UPGRADE DELTAS (auto-calculated from prices above)</t>
  </si>
  <si>
    <t>Path</t>
  </si>
  <si>
    <t>Price Delta</t>
  </si>
  <si>
    <t>M6 Savings/yr</t>
  </si>
  <si>
    <t>Payback (M6, yrs)</t>
  </si>
  <si>
    <t>Competitor 1 → BCM</t>
  </si>
  <si>
    <t>Competitor 1 → UCM</t>
  </si>
  <si>
    <t>Competitor 2 → UCM</t>
  </si>
  <si>
    <t>BCM → UCM Manual</t>
  </si>
  <si>
    <t>BCM → UCM Auto</t>
  </si>
  <si>
    <t>UCM Manual → Deadweight</t>
  </si>
  <si>
    <t>PROFITABILITY MODEL</t>
  </si>
  <si>
    <t>PROFITABILITY PER MACHINE</t>
  </si>
  <si>
    <t>Revenue/yr</t>
  </si>
  <si>
    <t>Cost Glob</t>
  </si>
  <si>
    <t>Cost M6</t>
  </si>
  <si>
    <t>Cost Spec</t>
  </si>
  <si>
    <t>Profit Glob</t>
  </si>
  <si>
    <t>Profit Spec</t>
  </si>
  <si>
    <t>Payback Glob</t>
  </si>
  <si>
    <t>Payback Spec</t>
  </si>
  <si>
    <t>Req Price
(Glob)</t>
  </si>
  <si>
    <t>Req Price
(M6)</t>
  </si>
  <si>
    <t>Labor
Cost/yr</t>
  </si>
  <si>
    <t>Req Price
(Spec)</t>
  </si>
  <si>
    <t>Req $/Hr
(M6)</t>
  </si>
  <si>
    <t>Cost
Simple</t>
  </si>
  <si>
    <t>Profit
Simple</t>
  </si>
  <si>
    <t>Payback
Simple</t>
  </si>
  <si>
    <t>REQUIRED CALIBRATIONS FOR TARGET PAYBACK</t>
  </si>
  <si>
    <t>Req Cals
(Glob)</t>
  </si>
  <si>
    <t>Req Cals
(M6)</t>
  </si>
  <si>
    <t>Req Cals
(Spec)</t>
  </si>
  <si>
    <t>CHART DATA — ANNUAL PROFIT</t>
  </si>
  <si>
    <t>PROFITABILITY vs TUR (Scatter Data)</t>
  </si>
  <si>
    <t>Profit
Global</t>
  </si>
  <si>
    <t>Profit
M6</t>
  </si>
  <si>
    <t>Profit
Specific</t>
  </si>
  <si>
    <t>$0 Line</t>
  </si>
  <si>
    <t>Each dot is a machine at its TUR. Points above the red $0 line are profitable; below are losses. The vertical spread at each TUR shows the cost of guard banding — Simple Accept (no guard band) is always the highest profit but carries the most customer risk.</t>
  </si>
  <si>
    <t>Revenue = Calibrations/yr × Price per Calibration.</t>
  </si>
  <si>
    <t>Labor Cost = Hrs/Cal × Hourly Rate × Cals/yr. Edit Hrs/Cal per machine (green column) to reflect your actual calibration time.</t>
  </si>
  <si>
    <t>Operating Cost = (Rework + Swap + Ref Cal) from Range Analysis. Does not include consumables or facility overhead.</t>
  </si>
  <si>
    <t>Profit = Revenue − Labor − Operating Cost. Negative profit means the machine loses money at that price per cal.</t>
  </si>
  <si>
    <t>Payback = Machine Price / Annual Profit. "Never" means the machine never pays for itself at current pricing.</t>
  </si>
  <si>
    <t>Automation reduces Hrs/Cal directly, which is the single biggest lever on profitability (bigger than rework savings).</t>
  </si>
  <si>
    <t>Guard Band Tax Calculator</t>
  </si>
  <si>
    <t>Shows tolerance consumed at various TUR levels</t>
  </si>
  <si>
    <t>Tol% Spec</t>
  </si>
  <si>
    <t>Usable Spec</t>
  </si>
  <si>
    <t>Tol% M6</t>
  </si>
  <si>
    <t>Usable M6</t>
  </si>
  <si>
    <t>GB Simple</t>
  </si>
  <si>
    <t>Tol%
Simple</t>
  </si>
  <si>
    <t>Usable
Simple</t>
  </si>
  <si>
    <t>Standard Switching Cost Analysis</t>
  </si>
  <si>
    <t>Risk from Sandia bivariate integral</t>
  </si>
  <si>
    <t>Swap Time (min)</t>
  </si>
  <si>
    <t>Cal Cost/Cell ($/yr)</t>
  </si>
  <si>
    <t>Downtime (weeks)</t>
  </si>
  <si>
    <t>Min Load%</t>
  </si>
  <si>
    <t>#Cells</t>
  </si>
  <si>
    <t>SwapCost/Cal</t>
  </si>
  <si>
    <t>AnnSwapCost</t>
  </si>
  <si>
    <t>AnnCalCost</t>
  </si>
  <si>
    <t>DT(wks)</t>
  </si>
  <si>
    <t>TUR @0.1%</t>
  </si>
  <si>
    <t>Total Spec</t>
  </si>
  <si>
    <t>Total M6</t>
  </si>
  <si>
    <t>Ship Events</t>
  </si>
  <si>
    <t>Total Glob</t>
  </si>
  <si>
    <t>PFR via Sandia bivariate integral. M6 always ≤ Specific at same TUR.</t>
  </si>
  <si>
    <t>Shipping Risk = 1 event/cell/yr in proper Morehouse case with custom-cut foam.</t>
  </si>
  <si>
    <t>Strategy</t>
  </si>
  <si>
    <t>Swap Cost</t>
  </si>
  <si>
    <t>Cal Cost</t>
  </si>
  <si>
    <t>Rework (M6)</t>
  </si>
  <si>
    <t>Total (M6)</t>
  </si>
  <si>
    <t>Sandia PSL Bivariate Normal Risk Calculator</t>
  </si>
  <si>
    <t>Based on Sandia PSL PFA Risk Calculator (SAND2025-10736O). Uses ERF-based Drezner approximation.</t>
  </si>
  <si>
    <t>SHARED INPUTS</t>
  </si>
  <si>
    <t>Tolerance (± lbf)</t>
  </si>
  <si>
    <t>N (cals/yr)</t>
  </si>
  <si>
    <t>Rework cost ($)</t>
  </si>
  <si>
    <t>BVN Constants</t>
  </si>
  <si>
    <t>cx</t>
  </si>
  <si>
    <t>cy</t>
  </si>
  <si>
    <t>Interface Machine</t>
  </si>
  <si>
    <t>5% Load (TUR 3)</t>
  </si>
  <si>
    <t>10% Load (TUR 4)</t>
  </si>
  <si>
    <t>20% Load (TUR 5)</t>
  </si>
  <si>
    <t>σ_t</t>
  </si>
  <si>
    <t>σ_total</t>
  </si>
  <si>
    <t>ρ</t>
  </si>
  <si>
    <t>d = √(1-ρ²)</t>
  </si>
  <si>
    <t>a_bvn = -ρ/d</t>
  </si>
  <si>
    <t>GB Specific</t>
  </si>
  <si>
    <t>Accept width (a_spec)</t>
  </si>
  <si>
    <t>p1 = a/σ_t</t>
  </si>
  <si>
    <t>p2 = -a/σ_t</t>
  </si>
  <si>
    <t>q_neg = -t/σ_p</t>
  </si>
  <si>
    <t>q_pos = t/σ_p</t>
  </si>
  <si>
    <t>BVN1: b</t>
  </si>
  <si>
    <t>BVN1: aq+b</t>
  </si>
  <si>
    <t>BVN1: z</t>
  </si>
  <si>
    <t>BVN1: √z</t>
  </si>
  <si>
    <t>BVN1: exp_arg1</t>
  </si>
  <si>
    <t>BVN1: exp_arg2</t>
  </si>
  <si>
    <t>BVN1: result</t>
  </si>
  <si>
    <t>BVN2: b</t>
  </si>
  <si>
    <t>BVN2: aq+b</t>
  </si>
  <si>
    <t>BVN2: z</t>
  </si>
  <si>
    <t>BVN2: √z</t>
  </si>
  <si>
    <t>BVN2: exp_arg1</t>
  </si>
  <si>
    <t>BVN2: exp_arg2</t>
  </si>
  <si>
    <t>BVN2: result</t>
  </si>
  <si>
    <t>BVN3: b</t>
  </si>
  <si>
    <t>BVN3: aq+b</t>
  </si>
  <si>
    <t>BVN3: z</t>
  </si>
  <si>
    <t>BVN3: √z</t>
  </si>
  <si>
    <t>BVN3: exp_arg1</t>
  </si>
  <si>
    <t>BVN3: exp_arg2</t>
  </si>
  <si>
    <t>BVN3: result</t>
  </si>
  <si>
    <t>PFA (Specific)</t>
  </si>
  <si>
    <t>PFR (Specific)</t>
  </si>
  <si>
    <t>M6 Multiplier</t>
  </si>
  <si>
    <t>Accept width (a_m6)</t>
  </si>
  <si>
    <t>p1_m6</t>
  </si>
  <si>
    <t>p2_m6</t>
  </si>
  <si>
    <t>BVN4: b</t>
  </si>
  <si>
    <t>BVN4: aq+b</t>
  </si>
  <si>
    <t>BVN4: z</t>
  </si>
  <si>
    <t>BVN4: √z</t>
  </si>
  <si>
    <t>BVN4: exp_arg1</t>
  </si>
  <si>
    <t>BVN4: exp_arg2</t>
  </si>
  <si>
    <t>BVN4: result</t>
  </si>
  <si>
    <t>BVN5: b</t>
  </si>
  <si>
    <t>BVN5: aq+b</t>
  </si>
  <si>
    <t>BVN5: z</t>
  </si>
  <si>
    <t>BVN5: √z</t>
  </si>
  <si>
    <t>BVN5: exp_arg1</t>
  </si>
  <si>
    <t>BVN5: exp_arg2</t>
  </si>
  <si>
    <t>BVN5: result</t>
  </si>
  <si>
    <t>BVN6: b</t>
  </si>
  <si>
    <t>BVN6: aq+b</t>
  </si>
  <si>
    <t>BVN6: z</t>
  </si>
  <si>
    <t>BVN6: √z</t>
  </si>
  <si>
    <t>BVN6: exp_arg1</t>
  </si>
  <si>
    <t>BVN6: exp_arg2</t>
  </si>
  <si>
    <t>BVN6: result</t>
  </si>
  <si>
    <t>PFA (Method 6)</t>
  </si>
  <si>
    <t>PFR (Method 6)</t>
  </si>
  <si>
    <t>FR/yr (Specific)</t>
  </si>
  <si>
    <t>FR/yr (M6)</t>
  </si>
  <si>
    <t>Rework $/yr (Spec)</t>
  </si>
  <si>
    <t>Rework $/yr (M6)</t>
  </si>
  <si>
    <t>SIMPLE ACCEPTANCE (Shared Risk, GB = 0)</t>
  </si>
  <si>
    <t>PFR (Simple)</t>
  </si>
  <si>
    <t>FR/yr (Simple)</t>
  </si>
  <si>
    <t>Rework $/yr (Simple)</t>
  </si>
  <si>
    <t>NUMERICAL INTEGRATION (Trapezoidal Rule)</t>
  </si>
  <si>
    <t>Integration points</t>
  </si>
  <si>
    <t>BCM Spec</t>
  </si>
  <si>
    <t>BCM M6</t>
  </si>
  <si>
    <t>PCM Spec</t>
  </si>
  <si>
    <t>PCM M6</t>
  </si>
  <si>
    <t>UCM Spec</t>
  </si>
  <si>
    <t>UCM M6</t>
  </si>
  <si>
    <t>UCMAuto Spec</t>
  </si>
  <si>
    <t>UCMAuto M6</t>
  </si>
  <si>
    <t>DW Spec</t>
  </si>
  <si>
    <t>DW M6</t>
  </si>
  <si>
    <t>Interface Spec</t>
  </si>
  <si>
    <t>Interface M6</t>
  </si>
  <si>
    <t>TUR3 Spec</t>
  </si>
  <si>
    <t>TUR3 M6</t>
  </si>
  <si>
    <t>TUR4 Spec</t>
  </si>
  <si>
    <t>TUR4 M6</t>
  </si>
  <si>
    <t>TUR5 Spec</t>
  </si>
  <si>
    <t>TUR5 M6</t>
  </si>
  <si>
    <t>Global C</t>
  </si>
  <si>
    <t>Global D</t>
  </si>
  <si>
    <t>Global E</t>
  </si>
  <si>
    <t>Global F</t>
  </si>
  <si>
    <t>Global G</t>
  </si>
  <si>
    <t>Global H</t>
  </si>
  <si>
    <t>Global J</t>
  </si>
  <si>
    <t>Global K</t>
  </si>
  <si>
    <t>Global L</t>
  </si>
  <si>
    <t>Solved GB (Global)</t>
  </si>
  <si>
    <t>Accept width (Global)</t>
  </si>
  <si>
    <t>PFA (Global)</t>
  </si>
  <si>
    <t>PFR (Global)</t>
  </si>
  <si>
    <t>FR/yr (Global)</t>
  </si>
  <si>
    <t>Rework $/yr (Global)</t>
  </si>
  <si>
    <t>RANGE ANALYSIS INTEGRATION</t>
  </si>
  <si>
    <t>dx_hi</t>
  </si>
  <si>
    <t>dx_lo</t>
  </si>
  <si>
    <t>dx_pfa_hi</t>
  </si>
  <si>
    <t>dx_pfa_lo</t>
  </si>
  <si>
    <t>CMC OPTIMIZER — Integration x-grid (midpoints at LOW force)</t>
  </si>
  <si>
    <t>dx</t>
  </si>
  <si>
    <t>Formula Validation &amp; Proof Report</t>
  </si>
  <si>
    <t>Reference: scipy.integrate.quad · Sandia PSL PFA Risk Calculator (SAND2025-10736O)</t>
  </si>
  <si>
    <t>TABLE 1: DASHBOARD PFR vs SCIPY (7×3 = 21 PFR checks + 21 rework checks)</t>
  </si>
  <si>
    <t>CMC</t>
  </si>
  <si>
    <t>Excel
PFR_G</t>
  </si>
  <si>
    <t>Scipy
PFR_G</t>
  </si>
  <si>
    <t>Δ</t>
  </si>
  <si>
    <t>Excel
PFR_M6</t>
  </si>
  <si>
    <t>Scipy
PFR_M6</t>
  </si>
  <si>
    <t>Excel
PFR_S</t>
  </si>
  <si>
    <t>Scipy
PFR_S</t>
  </si>
  <si>
    <t>PASS</t>
  </si>
  <si>
    <t>UCM Auto</t>
  </si>
  <si>
    <t>TABLE 2: REWORK = PFR × N × $Cost (7 checks)</t>
  </si>
  <si>
    <t>× Cals</t>
  </si>
  <si>
    <t>× $Cost</t>
  </si>
  <si>
    <t>Expected</t>
  </si>
  <si>
    <t>Excel</t>
  </si>
  <si>
    <t>Status</t>
  </si>
  <si>
    <t>TABLE 3: GUARD BANDS — Deterministic (20 checks)</t>
  </si>
  <si>
    <t>U</t>
  </si>
  <si>
    <t>Excel
GB_Spec</t>
  </si>
  <si>
    <t>Calc
GB_Spec</t>
  </si>
  <si>
    <t>Excel
GB_M6</t>
  </si>
  <si>
    <t>Calc
GB_M6</t>
  </si>
  <si>
    <t>Consumed</t>
  </si>
  <si>
    <t>TABLE 4: ORDERING — Global ≤ M6 ≤ Specific (7 checks)</t>
  </si>
  <si>
    <t>RW Global</t>
  </si>
  <si>
    <t>RW Specific</t>
  </si>
  <si>
    <t>G≤M6</t>
  </si>
  <si>
    <t>M6≤S</t>
  </si>
  <si>
    <t>✓</t>
  </si>
  <si>
    <t>Reference</t>
  </si>
  <si>
    <t>Description</t>
  </si>
  <si>
    <t>Value</t>
  </si>
  <si>
    <t>Risk Calc B5</t>
  </si>
  <si>
    <t>Tol</t>
  </si>
  <si>
    <t>Risk Calc B6</t>
  </si>
  <si>
    <t>Risk Calc B7</t>
  </si>
  <si>
    <t>σ_p</t>
  </si>
  <si>
    <t>Risk Calc B8</t>
  </si>
  <si>
    <t>N</t>
  </si>
  <si>
    <t>Risk Calc B9</t>
  </si>
  <si>
    <t>RW$</t>
  </si>
  <si>
    <t>RA B9</t>
  </si>
  <si>
    <t>RA B10</t>
  </si>
  <si>
    <t>RA B11</t>
  </si>
  <si>
    <t>RA E5</t>
  </si>
  <si>
    <t>TolHi</t>
  </si>
  <si>
    <t>RA E6</t>
  </si>
  <si>
    <t>TolLo</t>
  </si>
  <si>
    <t>BRK B27</t>
  </si>
  <si>
    <t>BRK B28</t>
  </si>
  <si>
    <t>Rate</t>
  </si>
  <si>
    <t>Dash B9</t>
  </si>
  <si>
    <t>Dash B16</t>
  </si>
  <si>
    <t>TABLE 6: BREAKEVEN — Rev($150/cal) − Labor($200/hr) − OpCost = Profit</t>
  </si>
  <si>
    <t>OpCost</t>
  </si>
  <si>
    <t>Check</t>
  </si>
  <si>
    <t>Req$/Cal</t>
  </si>
  <si>
    <t>Req$/Hr</t>
  </si>
  <si>
    <t>Never</t>
  </si>
  <si>
    <t>2.3yr</t>
  </si>
  <si>
    <t>TABLE 7: STANDARD SWITCHING — Swap+Cal+RW=Total (3 checks)</t>
  </si>
  <si>
    <t>MinLoad%</t>
  </si>
  <si>
    <t>Swap$/yr</t>
  </si>
  <si>
    <t>Cal$/yr</t>
  </si>
  <si>
    <t>TABLE 8: CELL CHAIN — 10,000→25 lbf at 5% Loading</t>
  </si>
  <si>
    <t>Cells needed</t>
  </si>
  <si>
    <t>Swaps/run</t>
  </si>
  <si>
    <t>Cell 1</t>
  </si>
  <si>
    <t>10,000 lbf</t>
  </si>
  <si>
    <t>→ 500 lbf</t>
  </si>
  <si>
    <t>No — need next cell</t>
  </si>
  <si>
    <t>INFO</t>
  </si>
  <si>
    <t>Cell 2</t>
  </si>
  <si>
    <t>500 lbf</t>
  </si>
  <si>
    <t>→ 25 lbf</t>
  </si>
  <si>
    <t>✓ Yes</t>
  </si>
  <si>
    <t>VALIDATION SUMMARY</t>
  </si>
  <si>
    <t>Result</t>
  </si>
  <si>
    <t>Total formulas</t>
  </si>
  <si>
    <t>5,588</t>
  </si>
  <si>
    <t>Validation checks</t>
  </si>
  <si>
    <t>Errors</t>
  </si>
  <si>
    <t>0</t>
  </si>
  <si>
    <t>Warnings</t>
  </si>
  <si>
    <t>M6/Specific accuracy</t>
  </si>
  <si>
    <t>&lt; 0.05% vs scipy at TUR ≥ 1.5</t>
  </si>
  <si>
    <t>Global accuracy</t>
  </si>
  <si>
    <t>&lt; 3% (40-pt trapezoidal)</t>
  </si>
  <si>
    <t>Guard bands</t>
  </si>
  <si>
    <t>Exact match — 10 TUR levels</t>
  </si>
  <si>
    <t>Known limitation</t>
  </si>
  <si>
    <t>Deadweight TUR 50: Excel 0.54% vs scipy 0.16%</t>
  </si>
  <si>
    <t>Sandia PSL PFA Risk Calculator (SAND2025-10736O)</t>
  </si>
  <si>
    <t>INPUT CELL LEGEND</t>
  </si>
  <si>
    <t>Editable input</t>
  </si>
  <si>
    <t>Sage shading + green bold + thin green border</t>
  </si>
  <si>
    <t>Calculated</t>
  </si>
  <si>
    <t>No shading — formula cell, do not edit</t>
  </si>
  <si>
    <t>Hrs/Cal pulled from Range Analysis tab. Edit there to change.</t>
  </si>
  <si>
    <t>Breakeven Cals Chart Data</t>
  </si>
  <si>
    <t>Includes labor (Hrs/Cal on Range Analysis col C → Breakeven)</t>
  </si>
  <si>
    <t>TABLE 5: CROSS-SHEET REFERENCES (15 checks)</t>
  </si>
  <si>
    <t>BRK O31</t>
  </si>
  <si>
    <t>Hrs/Cal link</t>
  </si>
  <si>
    <t>▶  START HERE — Enter values in GREEN cells below, then check Range Analysis for any Machine Pricing Adjustment  + Summary tab for report</t>
  </si>
  <si>
    <t>TRUE COST OF MEASUREMENT DECISIONS</t>
  </si>
  <si>
    <t>Executive Summary Report</t>
  </si>
  <si>
    <t>KEY PARAMETERS</t>
  </si>
  <si>
    <t>Tolerance</t>
  </si>
  <si>
    <t>Labor Rate</t>
  </si>
  <si>
    <t>Cals/Year</t>
  </si>
  <si>
    <t>Price/Cal</t>
  </si>
  <si>
    <t>Best Machine:</t>
  </si>
  <si>
    <t>Annual Profit:</t>
  </si>
  <si>
    <t>Payback:</t>
  </si>
  <si>
    <t>Worst Available:</t>
  </si>
  <si>
    <t>Spread:</t>
  </si>
  <si>
    <t>/yr</t>
  </si>
  <si>
    <t>Cal Cost/yr</t>
  </si>
  <si>
    <t>Total Cost/yr</t>
  </si>
  <si>
    <t>Profit/yr</t>
  </si>
  <si>
    <t>SAVINGS ANALYSIS — CURRENT vs. RECOMMENDED</t>
  </si>
  <si>
    <t>Worst Available</t>
  </si>
  <si>
    <t>Best (Recommended)</t>
  </si>
  <si>
    <t>Annual Savings</t>
  </si>
  <si>
    <t>Rework Cost/yr</t>
  </si>
  <si>
    <t>CUMULATIVE SAVINGS PROJECTIONS</t>
  </si>
  <si>
    <t>Investment Delta</t>
  </si>
  <si>
    <t>Year 1</t>
  </si>
  <si>
    <t>Year 3</t>
  </si>
  <si>
    <t>Year 5</t>
  </si>
  <si>
    <t>Rework Cost</t>
  </si>
  <si>
    <t>Swap Req?</t>
  </si>
  <si>
    <t>CMC Low (%)</t>
  </si>
  <si>
    <t>Green headers</t>
  </si>
  <si>
    <t xml:space="preserve">Measurement Risk Scenario Selected </t>
  </si>
  <si>
    <t>Machine
Price</t>
  </si>
  <si>
    <t>Current
$/Cal</t>
  </si>
  <si>
    <t>Global
(PFA ≤ 2%)</t>
  </si>
  <si>
    <t>Method 6
(Dobbert)</t>
  </si>
  <si>
    <t>Specific Risk
(PFA ≤ 2%)</t>
  </si>
  <si>
    <t>Simple
Acceptance</t>
  </si>
  <si>
    <t>Capacity
(lbf)</t>
  </si>
  <si>
    <t>No</t>
  </si>
  <si>
    <t>Simple Acceptance</t>
  </si>
  <si>
    <t>💡 Hover any green input cell for a description, or see the Instructions tab for full guidance.</t>
  </si>
  <si>
    <t>Cell</t>
  </si>
  <si>
    <t>Yes/No toggle. Shows/hides the 4th decision rule (shared risk, no guard band) on charts. Default: No.</t>
  </si>
  <si>
    <t>Manufacturer's specification as a % of applied force. E.g., ±0.1% = 0.001. Flows to Range Analysis Tol@High and Risk Calc.</t>
  </si>
  <si>
    <t>MACHINE INPUTS</t>
  </si>
  <si>
    <t>Calibration and Measurement Capability at capacity. Green inputs on Dashboard rows 25–31. Flows to Range Analysis CMC@High.</t>
  </si>
  <si>
    <t>Maximum force capacity per machine. Machines exceeding Applied Force are marked N/A and zeroed on all charts.</t>
  </si>
  <si>
    <t>Average hours per calibration per machine. Includes setup, loading, documentation. Drives labor cost.</t>
  </si>
  <si>
    <t>Morehouse True Cost Calculator v17.5</t>
  </si>
  <si>
    <t>Tol=10.0 lbf | EOPR=85% | N=1,000 | Force=10,000 lbf | Rate=$200/hr | 2026-05-05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</si>
</sst>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0.000%"/>
    <numFmt numFmtId="165" formatCode="0.0"/>
    <numFmt numFmtId="166" formatCode="0.0%"/>
    <numFmt numFmtId="167" formatCode="\$#,##0"/>
    <numFmt numFmtId="168" formatCode="0.0000%"/>
    <numFmt numFmtId="169" formatCode="0.000"/>
    <numFmt numFmtId="170" formatCode="0.0000"/>
    <numFmt numFmtId="171" formatCode="#,##0.0"/>
    <numFmt numFmtId="172" formatCode="0.00000"/>
    <numFmt numFmtId="173" formatCode="0.000000"/>
    <numFmt numFmtId="174" formatCode="0.00000%"/>
    <numFmt numFmtId="175" formatCode="\$0.00"/>
    <numFmt numFmtId="176" formatCode="&quot;$&quot;#,##0"/>
    <numFmt numFmtId="177" formatCode="&quot;$&quot;#,##0;\(&quot;$&quot;#,##0\);\-"/>
    <numFmt numFmtId="178" formatCode="&quot;$&quot;#,##0.00"/>
  </numFmts>
  <fonts count="130" x14ac:knownFonts="1">
    <font>
      <sz val="11"/>
      <color theme="1"/>
      <name val="Calibri"/>
      <family val="2"/>
      <charset val="1"/>
    </font>
    <font>
      <sz val="11"/>
      <name val="Cambria"/>
      <family val="1"/>
      <charset val="1"/>
    </font>
    <font>
      <b/>
      <sz val="10"/>
      <color rgb="FF36573B"/>
      <name val="Cambria"/>
      <family val="1"/>
      <charset val="1"/>
    </font>
    <font>
      <sz val="10"/>
      <name val="Cambria"/>
      <family val="1"/>
      <charset val="1"/>
    </font>
    <font>
      <b/>
      <sz val="11"/>
      <color rgb="FF002855"/>
      <name val="Cambria"/>
      <family val="1"/>
      <charset val="1"/>
    </font>
    <font>
      <b/>
      <sz val="10"/>
      <color rgb="FF002855"/>
      <name val="Cambria"/>
      <family val="1"/>
      <charset val="1"/>
    </font>
    <font>
      <b/>
      <sz val="10"/>
      <color rgb="FF002855"/>
      <name val="Calibri"/>
      <family val="2"/>
      <charset val="1"/>
    </font>
    <font>
      <sz val="10"/>
      <name val="Calibri"/>
      <family val="2"/>
      <charset val="1"/>
    </font>
    <font>
      <b/>
      <sz val="9"/>
      <name val="Cambria"/>
      <family val="1"/>
      <charset val="1"/>
    </font>
    <font>
      <sz val="9"/>
      <name val="Cambria"/>
      <family val="1"/>
      <charset val="1"/>
    </font>
    <font>
      <sz val="9"/>
      <color rgb="FFAFA9A0"/>
      <name val="Cambria"/>
      <family val="1"/>
      <charset val="1"/>
    </font>
    <font>
      <sz val="9"/>
      <name val="Calibri"/>
      <family val="2"/>
      <charset val="1"/>
    </font>
    <font>
      <sz val="9"/>
      <color rgb="FFAFA9A0"/>
      <name val="Calibri"/>
      <family val="2"/>
      <charset val="1"/>
    </font>
    <font>
      <b/>
      <sz val="12"/>
      <color rgb="FF002855"/>
      <name val="Calibri"/>
      <family val="2"/>
      <charset val="1"/>
    </font>
    <font>
      <b/>
      <sz val="14"/>
      <color rgb="FFFFFFFF"/>
      <name val="Calibri"/>
      <family val="2"/>
      <charset val="1"/>
    </font>
    <font>
      <sz val="8"/>
      <color rgb="FFAFA9A0"/>
      <name val="Calibri"/>
      <family val="2"/>
      <charset val="1"/>
    </font>
    <font>
      <b/>
      <sz val="8"/>
      <color rgb="FF002855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9"/>
      <color rgb="FF36573B"/>
      <name val="Calibri"/>
      <family val="2"/>
      <charset val="1"/>
    </font>
    <font>
      <i/>
      <sz val="8"/>
      <color rgb="FFAFA9A0"/>
      <name val="Calibri"/>
      <family val="2"/>
      <charset val="1"/>
    </font>
    <font>
      <b/>
      <sz val="8"/>
      <color rgb="FFFFFFFF"/>
      <name val="Calibri"/>
      <family val="2"/>
      <charset val="1"/>
    </font>
    <font>
      <b/>
      <sz val="14"/>
      <color rgb="FF002855"/>
      <name val="Calibri"/>
      <family val="2"/>
      <charset val="1"/>
    </font>
    <font>
      <b/>
      <sz val="10"/>
      <color rgb="FF36573B"/>
      <name val="Calibri"/>
      <family val="2"/>
      <charset val="1"/>
    </font>
    <font>
      <b/>
      <sz val="11"/>
      <color rgb="FF002855"/>
      <name val="Calibri"/>
      <family val="2"/>
      <charset val="1"/>
    </font>
    <font>
      <b/>
      <sz val="7"/>
      <color rgb="FFFFFFFF"/>
      <name val="Cambria"/>
      <family val="1"/>
      <charset val="1"/>
    </font>
    <font>
      <b/>
      <sz val="7"/>
      <color rgb="FFFFFFFF"/>
      <name val="Calibri"/>
      <family val="2"/>
      <charset val="1"/>
    </font>
    <font>
      <sz val="8"/>
      <name val="Calibri"/>
      <family val="2"/>
      <charset val="1"/>
    </font>
    <font>
      <b/>
      <sz val="10"/>
      <name val="Cambria"/>
      <family val="1"/>
      <charset val="1"/>
    </font>
    <font>
      <sz val="8"/>
      <color rgb="FFAFA9A0"/>
      <name val="Cambria"/>
      <family val="1"/>
      <charset val="1"/>
    </font>
    <font>
      <b/>
      <sz val="8"/>
      <color rgb="FFFFFFFF"/>
      <name val="Cambria"/>
      <family val="1"/>
      <charset val="1"/>
    </font>
    <font>
      <sz val="10"/>
      <name val="Arial"/>
      <family val="2"/>
    </font>
    <font>
      <i/>
      <sz val="8"/>
      <color rgb="FFAFA9A0"/>
      <name val="Cambria"/>
      <family val="1"/>
      <charset val="1"/>
    </font>
    <font>
      <b/>
      <sz val="13"/>
      <color rgb="FFFFFFFF"/>
      <name val="Calibri"/>
      <family val="2"/>
      <charset val="1"/>
    </font>
    <font>
      <sz val="10"/>
      <color rgb="FF0000FF"/>
      <name val="Cambria"/>
      <family val="1"/>
      <charset val="1"/>
    </font>
    <font>
      <sz val="11"/>
      <name val="Calibri"/>
      <family val="2"/>
      <charset val="1"/>
    </font>
    <font>
      <b/>
      <sz val="11"/>
      <color rgb="FFFFFFFF"/>
      <name val="Cambria"/>
      <family val="1"/>
      <charset val="1"/>
    </font>
    <font>
      <b/>
      <sz val="13"/>
      <color rgb="FFFFFFFF"/>
      <name val="Cambria"/>
      <family val="1"/>
      <charset val="1"/>
    </font>
    <font>
      <b/>
      <sz val="11"/>
      <color rgb="FF36573B"/>
      <name val="Cambria"/>
      <family val="1"/>
      <charset val="1"/>
    </font>
    <font>
      <sz val="9"/>
      <color rgb="FF666666"/>
      <name val="Cambria"/>
      <family val="1"/>
      <charset val="1"/>
    </font>
    <font>
      <b/>
      <sz val="9"/>
      <color rgb="FFFFFFFF"/>
      <name val="Cambria"/>
      <family val="1"/>
      <charset val="1"/>
    </font>
    <font>
      <b/>
      <sz val="9"/>
      <color rgb="FF36573B"/>
      <name val="Cambria"/>
      <family val="1"/>
      <charset val="1"/>
    </font>
    <font>
      <b/>
      <sz val="9"/>
      <color rgb="FFFFFFFF"/>
      <name val="Calibri"/>
      <family val="2"/>
      <charset val="1"/>
    </font>
    <font>
      <b/>
      <sz val="12"/>
      <name val="Cambria"/>
      <family val="1"/>
      <charset val="1"/>
    </font>
    <font>
      <sz val="8"/>
      <name val="Cambria"/>
      <family val="1"/>
      <charset val="1"/>
    </font>
    <font>
      <b/>
      <sz val="11"/>
      <name val="Cambria"/>
      <family val="1"/>
      <charset val="1"/>
    </font>
    <font>
      <b/>
      <sz val="16"/>
      <color rgb="FF36573B"/>
      <name val="Calibri"/>
      <family val="2"/>
      <charset val="1"/>
    </font>
    <font>
      <sz val="10"/>
      <color rgb="FF36573B"/>
      <name val="Calibri"/>
      <family val="2"/>
      <charset val="1"/>
    </font>
    <font>
      <sz val="9"/>
      <color rgb="FF002855"/>
      <name val="Calibri"/>
      <family val="2"/>
      <charset val="1"/>
    </font>
    <font>
      <b/>
      <sz val="10"/>
      <name val="Calibri"/>
      <family val="2"/>
      <charset val="1"/>
    </font>
    <font>
      <b/>
      <sz val="11"/>
      <color rgb="FF36573B"/>
      <name val="Calibri"/>
      <family val="2"/>
      <charset val="1"/>
    </font>
    <font>
      <b/>
      <sz val="9"/>
      <color rgb="FFFFFFFF"/>
      <name val="Calibri"/>
      <family val="2"/>
    </font>
    <font>
      <b/>
      <sz val="10"/>
      <color rgb="FF36573B"/>
      <name val="Calibri"/>
      <family val="2"/>
    </font>
    <font>
      <b/>
      <sz val="7"/>
      <color rgb="FFFFFFFF"/>
      <name val="Calibri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color rgb="FF008000"/>
      <name val="Calibri"/>
      <family val="2"/>
    </font>
    <font>
      <b/>
      <sz val="8"/>
      <color rgb="FFFFFFFF"/>
      <name val="Calibri"/>
      <family val="2"/>
    </font>
    <font>
      <i/>
      <sz val="8"/>
      <color rgb="FFAFA9A0"/>
      <name val="Calibri"/>
      <family val="2"/>
    </font>
    <font>
      <b/>
      <sz val="11"/>
      <color rgb="FF36573B"/>
      <name val="Calibri"/>
      <family val="2"/>
    </font>
    <font>
      <b/>
      <sz val="11"/>
      <color rgb="FFFFFFFF"/>
      <name val="Calibri"/>
      <family val="2"/>
    </font>
    <font>
      <sz val="9"/>
      <color rgb="FF000000"/>
      <name val="Calibri"/>
      <family val="2"/>
    </font>
    <font>
      <b/>
      <sz val="9"/>
      <color rgb="FF36573B"/>
      <name val="Calibri"/>
      <family val="2"/>
    </font>
    <font>
      <b/>
      <sz val="16"/>
      <color rgb="FF1B3A5C"/>
      <name val="Arial"/>
      <family val="2"/>
    </font>
    <font>
      <b/>
      <sz val="12"/>
      <color rgb="FF4472C4"/>
      <name val="Arial"/>
      <family val="2"/>
    </font>
    <font>
      <sz val="9"/>
      <color rgb="FF666666"/>
      <name val="Arial"/>
      <family val="2"/>
    </font>
    <font>
      <b/>
      <sz val="10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11"/>
      <color rgb="FFFFFFFF"/>
      <name val="Arial"/>
      <family val="2"/>
    </font>
    <font>
      <i/>
      <sz val="9"/>
      <color rgb="FF333333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375623"/>
      <name val="Arial"/>
      <family val="2"/>
    </font>
    <font>
      <i/>
      <sz val="8"/>
      <color rgb="FF999999"/>
      <name val="Arial"/>
      <family val="2"/>
    </font>
    <font>
      <b/>
      <sz val="18"/>
      <color rgb="FF36573B"/>
      <name val="Rockwell"/>
      <family val="1"/>
    </font>
    <font>
      <b/>
      <sz val="11"/>
      <color rgb="FF36573B"/>
      <name val="Rockwell"/>
      <family val="1"/>
    </font>
    <font>
      <sz val="9"/>
      <color rgb="FFAFA9A0"/>
      <name val="Calibri"/>
      <family val="2"/>
    </font>
    <font>
      <b/>
      <sz val="10"/>
      <color rgb="FFFFFFFF"/>
      <name val="Rockwell"/>
      <family val="1"/>
    </font>
    <font>
      <b/>
      <sz val="9"/>
      <color rgb="FF36573B"/>
      <name val="Calibri"/>
      <family val="2"/>
    </font>
    <font>
      <b/>
      <sz val="11"/>
      <color rgb="FF36573B"/>
      <name val="Calibri"/>
      <family val="2"/>
    </font>
    <font>
      <b/>
      <sz val="11"/>
      <color rgb="FFFFFFFF"/>
      <name val="Rockwell"/>
      <family val="1"/>
    </font>
    <font>
      <b/>
      <sz val="10"/>
      <color rgb="FF36573B"/>
      <name val="Calibri"/>
      <family val="2"/>
    </font>
    <font>
      <b/>
      <sz val="12"/>
      <color rgb="FF36573B"/>
      <name val="Calibri"/>
      <family val="2"/>
    </font>
    <font>
      <b/>
      <sz val="14"/>
      <color rgb="FF328D42"/>
      <name val="Calibri"/>
      <family val="2"/>
    </font>
    <font>
      <b/>
      <sz val="12"/>
      <color rgb="FF328D42"/>
      <name val="Calibri"/>
      <family val="2"/>
    </font>
    <font>
      <b/>
      <sz val="12"/>
      <color rgb="FFE97400"/>
      <name val="Calibri"/>
      <family val="2"/>
    </font>
    <font>
      <b/>
      <sz val="14"/>
      <color rgb="FFE97400"/>
      <name val="Calibri"/>
      <family val="2"/>
    </font>
    <font>
      <b/>
      <sz val="10"/>
      <color rgb="FFE97400"/>
      <name val="Calibri"/>
      <family val="2"/>
    </font>
    <font>
      <i/>
      <sz val="9"/>
      <color rgb="FF36573B"/>
      <name val="Calibri"/>
      <family val="2"/>
    </font>
    <font>
      <b/>
      <sz val="9"/>
      <color rgb="FFE97400"/>
      <name val="Calibri"/>
      <family val="2"/>
    </font>
    <font>
      <b/>
      <sz val="9"/>
      <color rgb="FF328D42"/>
      <name val="Calibri"/>
      <family val="2"/>
    </font>
    <font>
      <sz val="9"/>
      <color rgb="FFE97400"/>
      <name val="Calibri"/>
      <family val="2"/>
    </font>
    <font>
      <sz val="9"/>
      <color rgb="FF328D42"/>
      <name val="Calibri"/>
      <family val="2"/>
    </font>
    <font>
      <i/>
      <sz val="8"/>
      <color rgb="FFAFA9A0"/>
      <name val="Calibri"/>
      <family val="2"/>
    </font>
    <font>
      <b/>
      <sz val="14"/>
      <color rgb="FFFFFFFF"/>
      <name val="Rockwell"/>
      <family val="1"/>
    </font>
    <font>
      <b/>
      <sz val="8"/>
      <color rgb="FF36573B"/>
      <name val="Calibri"/>
      <family val="2"/>
    </font>
    <font>
      <b/>
      <sz val="16"/>
      <color rgb="FF36573B"/>
      <name val="Calibri"/>
      <family val="2"/>
    </font>
    <font>
      <sz val="9"/>
      <color rgb="FF36573B"/>
      <name val="Calibri"/>
      <family val="2"/>
    </font>
    <font>
      <i/>
      <sz val="9"/>
      <color rgb="FFE97400"/>
      <name val="Calibri"/>
      <family val="2"/>
    </font>
    <font>
      <b/>
      <sz val="9"/>
      <color rgb="FF36573B"/>
      <name val="Rockwell"/>
      <family val="1"/>
    </font>
    <font>
      <b/>
      <sz val="8"/>
      <color rgb="FFAFA9A0"/>
      <name val="Calibri"/>
      <family val="2"/>
    </font>
    <font>
      <b/>
      <sz val="8"/>
      <color rgb="FFFFFFFF"/>
      <name val="Calibri"/>
      <family val="2"/>
    </font>
    <font>
      <sz val="8"/>
      <color rgb="FFAFA9A0"/>
      <name val="Calibri"/>
      <family val="2"/>
    </font>
    <font>
      <b/>
      <sz val="7"/>
      <color rgb="FFFFFFFF"/>
      <name val="Cambria"/>
      <family val="1"/>
    </font>
    <font>
      <b/>
      <sz val="10"/>
      <color rgb="FF36573B"/>
      <name val="Cambria"/>
      <family val="1"/>
    </font>
    <font>
      <sz val="10"/>
      <color rgb="FF008000"/>
      <name val="Cambria"/>
      <family val="1"/>
    </font>
    <font>
      <b/>
      <sz val="14"/>
      <color rgb="FF36573B"/>
      <name val="Rockwell"/>
      <family val="1"/>
    </font>
    <font>
      <b/>
      <sz val="10"/>
      <color rgb="FF328D42"/>
      <name val="Rockwell"/>
      <family val="1"/>
    </font>
    <font>
      <b/>
      <sz val="10"/>
      <color rgb="FFFFFFFF"/>
      <name val="Calibri"/>
      <family val="2"/>
    </font>
    <font>
      <b/>
      <sz val="10"/>
      <color rgb="FF36573B"/>
      <name val="Rockwell"/>
      <family val="1"/>
    </font>
    <font>
      <b/>
      <sz val="7"/>
      <color rgb="FFFFFFFF"/>
      <name val="Calibri"/>
      <family val="2"/>
    </font>
    <font>
      <b/>
      <sz val="8"/>
      <color rgb="FFFFFFFF"/>
      <name val="Cambria"/>
      <family val="1"/>
    </font>
    <font>
      <b/>
      <sz val="16"/>
      <color rgb="FF36573B"/>
      <name val="Rockwell"/>
      <family val="1"/>
    </font>
    <font>
      <b/>
      <sz val="12"/>
      <color rgb="FF328D42"/>
      <name val="Rockwell"/>
      <family val="1"/>
    </font>
    <font>
      <sz val="10"/>
      <color rgb="FFAFA9A0"/>
      <name val="Calibri"/>
      <family val="2"/>
    </font>
    <font>
      <i/>
      <sz val="10"/>
      <color rgb="FFAFA9A0"/>
      <name val="Calibri"/>
      <family val="2"/>
    </font>
    <font>
      <b/>
      <sz val="12"/>
      <color rgb="FF36573B"/>
      <name val="Rockwell"/>
      <family val="1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FFFF"/>
      <name val="Calibri"/>
      <family val="2"/>
      <charset val="1"/>
    </font>
    <font>
      <b/>
      <sz val="11"/>
      <color rgb="FFFFFFFF"/>
      <name val="Rockwell"/>
      <family val="1"/>
    </font>
    <font>
      <sz val="11"/>
      <color rgb="FF000000"/>
      <name val="Calibri"/>
      <family val="2"/>
    </font>
    <font>
      <b/>
      <i/>
      <sz val="10"/>
      <color rgb="FF595959"/>
      <name val="Calibri"/>
      <family val="2"/>
    </font>
    <font>
      <sz val="11"/>
      <color rgb="FF36573B"/>
      <name val="Calibri"/>
      <family val="2"/>
    </font>
    <font>
      <sz val="9"/>
      <color theme="1"/>
      <name val="Cambria"/>
      <family val="1"/>
    </font>
    <font>
      <sz val="9"/>
      <color rgb="FFAFA9A0"/>
      <name val="Cambria"/>
      <family val="1"/>
    </font>
    <font>
      <b/>
      <i/>
      <sz val="8"/>
      <color rgb="FFAFA9A0"/>
      <name val="Cambria"/>
      <family val="1"/>
    </font>
    <font>
      <b/>
      <sz val="9"/>
      <color rgb="FFAFA9A0"/>
      <name val="Calibri"/>
      <family val="2"/>
    </font>
    <font>
      <b/>
      <sz val="9"/>
      <color rgb="FFAFA9A0"/>
      <name val="Cambria"/>
      <family val="1"/>
    </font>
  </fonts>
  <fills count="21">
    <fill>
      <patternFill patternType="none"/>
    </fill>
    <fill>
      <patternFill patternType="gray125"/>
    </fill>
    <fill>
      <patternFill patternType="solid">
        <fgColor rgb="FF002855"/>
        <bgColor rgb="FF1A1A1A"/>
      </patternFill>
    </fill>
    <fill>
      <patternFill patternType="solid">
        <fgColor rgb="FFF4F2EF"/>
        <bgColor rgb="FFF2F2F2"/>
      </patternFill>
    </fill>
    <fill>
      <patternFill patternType="solid">
        <fgColor rgb="FF36573B"/>
        <bgColor rgb="FF666666"/>
      </patternFill>
    </fill>
    <fill>
      <patternFill patternType="solid">
        <fgColor theme="0"/>
        <bgColor rgb="FFF5F5F5"/>
      </patternFill>
    </fill>
    <fill>
      <patternFill patternType="solid">
        <fgColor rgb="FFF5F5F5"/>
        <bgColor rgb="FFF2F2F2"/>
      </patternFill>
    </fill>
    <fill>
      <patternFill patternType="solid">
        <fgColor rgb="FFE8F0E8"/>
        <bgColor rgb="FFE8E8E8"/>
      </patternFill>
    </fill>
    <fill>
      <patternFill patternType="solid">
        <fgColor rgb="FFE8E8E8"/>
        <bgColor rgb="FFE8F0E8"/>
      </patternFill>
    </fill>
    <fill>
      <patternFill patternType="solid">
        <fgColor theme="0" tint="-4.9989318521683403E-2"/>
        <bgColor rgb="FFF4F2EF"/>
      </patternFill>
    </fill>
    <fill>
      <patternFill patternType="solid">
        <fgColor rgb="FFC0392B"/>
        <bgColor rgb="FF993366"/>
      </patternFill>
    </fill>
    <fill>
      <patternFill patternType="solid">
        <fgColor theme="0" tint="-0.14999847407452621"/>
        <bgColor rgb="FFCCCCCC"/>
      </patternFill>
    </fill>
    <fill>
      <patternFill patternType="solid">
        <fgColor rgb="FFF4F2EF"/>
        <bgColor indexed="64"/>
      </patternFill>
    </fill>
    <fill>
      <patternFill patternType="solid">
        <fgColor rgb="FF36573B"/>
        <bgColor indexed="64"/>
      </patternFill>
    </fill>
    <fill>
      <patternFill patternType="solid">
        <fgColor rgb="FFE8F0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855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D1E7BE"/>
        <bgColor indexed="64"/>
      </patternFill>
    </fill>
    <fill>
      <patternFill patternType="solid">
        <fgColor rgb="FF328D42"/>
        <bgColor indexed="64"/>
      </patternFill>
    </fill>
    <fill>
      <patternFill patternType="solid">
        <fgColor rgb="FFF2F2F2"/>
        <bgColor indexed="64"/>
      </patternFill>
    </fill>
  </fills>
  <borders count="65">
    <border>
      <left/>
      <right/>
      <top/>
      <bottom/>
      <diagonal/>
    </border>
    <border>
      <left style="thin">
        <color rgb="FF36573B"/>
      </left>
      <right style="thin">
        <color rgb="FF36573B"/>
      </right>
      <top style="thin">
        <color rgb="FF36573B"/>
      </top>
      <bottom style="thin">
        <color rgb="FF36573B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36573B"/>
      </left>
      <right/>
      <top style="thin">
        <color rgb="FF36573B"/>
      </top>
      <bottom style="thin">
        <color rgb="FF36573B"/>
      </bottom>
      <diagonal/>
    </border>
    <border>
      <left style="thin">
        <color rgb="FF36573B"/>
      </left>
      <right/>
      <top style="thin">
        <color rgb="FF36573B"/>
      </top>
      <bottom/>
      <diagonal/>
    </border>
    <border>
      <left style="thin">
        <color rgb="FF36573B"/>
      </left>
      <right/>
      <top/>
      <bottom/>
      <diagonal/>
    </border>
    <border>
      <left style="thin">
        <color rgb="FFD6DCE4"/>
      </left>
      <right style="thin">
        <color rgb="FFD6DCE4"/>
      </right>
      <top/>
      <bottom style="thin">
        <color rgb="FFD6DCE4"/>
      </bottom>
      <diagonal/>
    </border>
    <border>
      <left style="thin">
        <color rgb="FFD6DCE4"/>
      </left>
      <right style="thin">
        <color rgb="FFD6DCE4"/>
      </right>
      <top style="thin">
        <color rgb="FFD6DCE4"/>
      </top>
      <bottom style="thin">
        <color rgb="FFD6DCE4"/>
      </bottom>
      <diagonal/>
    </border>
    <border>
      <left style="thin">
        <color rgb="FFD6DCE4"/>
      </left>
      <right style="thin">
        <color rgb="FFD6DCE4"/>
      </right>
      <top style="thin">
        <color rgb="FFD6DCE4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B4C6DB"/>
      </left>
      <right style="thin">
        <color rgb="FFB4C6DB"/>
      </right>
      <top/>
      <bottom/>
      <diagonal/>
    </border>
    <border>
      <left style="thin">
        <color rgb="FFB4C6DB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B4C6DB"/>
      </left>
      <right/>
      <top/>
      <bottom style="medium">
        <color indexed="64"/>
      </bottom>
      <diagonal/>
    </border>
    <border>
      <left style="thin">
        <color rgb="FFB4C6DB"/>
      </left>
      <right style="thin">
        <color rgb="FFB4C6DB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D6DCE4"/>
      </right>
      <top style="medium">
        <color indexed="64"/>
      </top>
      <bottom style="medium">
        <color rgb="FF1B3A5C"/>
      </bottom>
      <diagonal/>
    </border>
    <border>
      <left style="thin">
        <color rgb="FFD6DCE4"/>
      </left>
      <right style="thin">
        <color rgb="FFD6DCE4"/>
      </right>
      <top style="medium">
        <color indexed="64"/>
      </top>
      <bottom style="medium">
        <color rgb="FF1B3A5C"/>
      </bottom>
      <diagonal/>
    </border>
    <border>
      <left style="thin">
        <color rgb="FFD6DCE4"/>
      </left>
      <right style="medium">
        <color indexed="64"/>
      </right>
      <top style="medium">
        <color indexed="64"/>
      </top>
      <bottom style="medium">
        <color rgb="FF1B3A5C"/>
      </bottom>
      <diagonal/>
    </border>
    <border>
      <left style="medium">
        <color indexed="64"/>
      </left>
      <right style="thin">
        <color rgb="FFD6DCE4"/>
      </right>
      <top/>
      <bottom style="thin">
        <color rgb="FFD6DCE4"/>
      </bottom>
      <diagonal/>
    </border>
    <border>
      <left style="thin">
        <color rgb="FFD6DCE4"/>
      </left>
      <right style="medium">
        <color indexed="64"/>
      </right>
      <top/>
      <bottom style="thin">
        <color rgb="FFD6DCE4"/>
      </bottom>
      <diagonal/>
    </border>
    <border>
      <left style="medium">
        <color indexed="64"/>
      </left>
      <right style="thin">
        <color rgb="FFD6DCE4"/>
      </right>
      <top style="thin">
        <color rgb="FFD6DCE4"/>
      </top>
      <bottom style="thin">
        <color rgb="FFD6DCE4"/>
      </bottom>
      <diagonal/>
    </border>
    <border>
      <left style="thin">
        <color rgb="FFD6DCE4"/>
      </left>
      <right style="medium">
        <color indexed="64"/>
      </right>
      <top style="thin">
        <color rgb="FFD6DCE4"/>
      </top>
      <bottom style="thin">
        <color rgb="FFD6DCE4"/>
      </bottom>
      <diagonal/>
    </border>
    <border>
      <left style="medium">
        <color indexed="64"/>
      </left>
      <right style="thin">
        <color rgb="FFD6DCE4"/>
      </right>
      <top style="thin">
        <color rgb="FFD6DCE4"/>
      </top>
      <bottom/>
      <diagonal/>
    </border>
    <border>
      <left style="thin">
        <color rgb="FFD6DCE4"/>
      </left>
      <right style="medium">
        <color indexed="64"/>
      </right>
      <top style="thin">
        <color rgb="FFD6DCE4"/>
      </top>
      <bottom/>
      <diagonal/>
    </border>
    <border>
      <left style="medium">
        <color indexed="64"/>
      </left>
      <right style="thin">
        <color rgb="FFD6DCE4"/>
      </right>
      <top style="thin">
        <color rgb="FFD6DCE4"/>
      </top>
      <bottom style="medium">
        <color indexed="64"/>
      </bottom>
      <diagonal/>
    </border>
    <border>
      <left style="thin">
        <color rgb="FFD6DCE4"/>
      </left>
      <right style="thin">
        <color rgb="FFD6DCE4"/>
      </right>
      <top style="thin">
        <color rgb="FFD6DCE4"/>
      </top>
      <bottom style="medium">
        <color indexed="64"/>
      </bottom>
      <diagonal/>
    </border>
    <border>
      <left style="thin">
        <color rgb="FFD6DCE4"/>
      </left>
      <right style="medium">
        <color indexed="64"/>
      </right>
      <top style="thin">
        <color rgb="FFD6DCE4"/>
      </top>
      <bottom style="medium">
        <color indexed="64"/>
      </bottom>
      <diagonal/>
    </border>
    <border>
      <left style="thin">
        <color rgb="FFAFA9A0"/>
      </left>
      <right/>
      <top/>
      <bottom style="medium">
        <color rgb="FF36573B"/>
      </bottom>
      <diagonal/>
    </border>
    <border>
      <left style="medium">
        <color indexed="64"/>
      </left>
      <right/>
      <top/>
      <bottom style="medium">
        <color rgb="FF36573B"/>
      </bottom>
      <diagonal/>
    </border>
    <border>
      <left style="thin">
        <color rgb="FFAFA9A0"/>
      </left>
      <right style="medium">
        <color indexed="64"/>
      </right>
      <top/>
      <bottom style="medium">
        <color rgb="FF36573B"/>
      </bottom>
      <diagonal/>
    </border>
    <border>
      <left style="medium">
        <color indexed="64"/>
      </left>
      <right/>
      <top style="thin">
        <color rgb="FFD6DCE4"/>
      </top>
      <bottom style="medium">
        <color indexed="64"/>
      </bottom>
      <diagonal/>
    </border>
    <border>
      <left style="thin">
        <color rgb="FFD6DCE4"/>
      </left>
      <right/>
      <top style="thin">
        <color rgb="FFD6DCE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D6DCE4"/>
      </right>
      <top style="medium">
        <color rgb="FF1B3A5C"/>
      </top>
      <bottom style="medium">
        <color indexed="64"/>
      </bottom>
      <diagonal/>
    </border>
    <border>
      <left style="thin">
        <color rgb="FFD6DCE4"/>
      </left>
      <right style="thin">
        <color rgb="FFD6DCE4"/>
      </right>
      <top style="medium">
        <color rgb="FF1B3A5C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CCCCCC"/>
      </top>
      <bottom/>
      <diagonal/>
    </border>
    <border>
      <left/>
      <right style="medium">
        <color indexed="64"/>
      </right>
      <top style="thin">
        <color rgb="FFCCCCCC"/>
      </top>
      <bottom/>
      <diagonal/>
    </border>
    <border>
      <left style="medium">
        <color indexed="64"/>
      </left>
      <right style="thin">
        <color rgb="FFD6DCE4"/>
      </right>
      <top style="medium">
        <color indexed="64"/>
      </top>
      <bottom/>
      <diagonal/>
    </border>
    <border>
      <left style="thin">
        <color rgb="FFD6DCE4"/>
      </left>
      <right style="thin">
        <color rgb="FFD6DCE4"/>
      </right>
      <top style="medium">
        <color indexed="64"/>
      </top>
      <bottom/>
      <diagonal/>
    </border>
    <border>
      <left style="thin">
        <color rgb="FFD6DCE4"/>
      </left>
      <right style="medium">
        <color indexed="64"/>
      </right>
      <top style="medium">
        <color indexed="64"/>
      </top>
      <bottom/>
      <diagonal/>
    </border>
    <border>
      <left style="thin">
        <color rgb="FFD6DCE4"/>
      </left>
      <right style="medium">
        <color indexed="64"/>
      </right>
      <top style="medium">
        <color rgb="FF1B3A5C"/>
      </top>
      <bottom style="medium">
        <color indexed="64"/>
      </bottom>
      <diagonal/>
    </border>
    <border>
      <left style="thin">
        <color rgb="FF36573B"/>
      </left>
      <right style="thin">
        <color rgb="FF36573B"/>
      </right>
      <top style="thin">
        <color rgb="FF36573B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D6DCE4"/>
      </bottom>
      <diagonal/>
    </border>
    <border>
      <left/>
      <right/>
      <top style="thin">
        <color rgb="FFD6DCE4"/>
      </top>
      <bottom style="thin">
        <color rgb="FFD6DCE4"/>
      </bottom>
      <diagonal/>
    </border>
    <border>
      <left/>
      <right/>
      <top style="thin">
        <color rgb="FFD6DCE4"/>
      </top>
      <bottom/>
      <diagonal/>
    </border>
    <border>
      <left/>
      <right/>
      <top style="thin">
        <color rgb="FFD6DCE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D6DCE4"/>
      </top>
      <bottom/>
      <diagonal/>
    </border>
    <border>
      <left/>
      <right style="medium">
        <color rgb="FF000000"/>
      </right>
      <top style="thin">
        <color rgb="FFD6DCE4"/>
      </top>
      <bottom/>
      <diagonal/>
    </border>
    <border>
      <left style="medium">
        <color rgb="FF000000"/>
      </left>
      <right/>
      <top style="thin">
        <color rgb="FFD6DCE4"/>
      </top>
      <bottom style="medium">
        <color rgb="FF000000"/>
      </bottom>
      <diagonal/>
    </border>
    <border>
      <left/>
      <right style="medium">
        <color rgb="FF000000"/>
      </right>
      <top style="thin">
        <color rgb="FFD6DCE4"/>
      </top>
      <bottom style="medium">
        <color rgb="FF000000"/>
      </bottom>
      <diagonal/>
    </border>
  </borders>
  <cellStyleXfs count="1">
    <xf numFmtId="0" fontId="0" fillId="0" borderId="0"/>
  </cellStyleXfs>
  <cellXfs count="434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5" borderId="0" xfId="0" applyFill="1"/>
    <xf numFmtId="0" fontId="2" fillId="7" borderId="1" xfId="0" applyFont="1" applyFill="1" applyBorder="1" applyProtection="1">
      <protection locked="0"/>
    </xf>
    <xf numFmtId="3" fontId="2" fillId="7" borderId="1" xfId="0" applyNumberFormat="1" applyFont="1" applyFill="1" applyBorder="1" applyProtection="1">
      <protection locked="0"/>
    </xf>
    <xf numFmtId="167" fontId="2" fillId="7" borderId="1" xfId="0" applyNumberFormat="1" applyFont="1" applyFill="1" applyBorder="1" applyProtection="1">
      <protection locked="0"/>
    </xf>
    <xf numFmtId="0" fontId="22" fillId="7" borderId="1" xfId="0" applyFont="1" applyFill="1" applyBorder="1" applyProtection="1">
      <protection locked="0"/>
    </xf>
    <xf numFmtId="0" fontId="62" fillId="0" borderId="0" xfId="0" applyFont="1"/>
    <xf numFmtId="0" fontId="63" fillId="0" borderId="0" xfId="0" applyFont="1"/>
    <xf numFmtId="0" fontId="64" fillId="0" borderId="0" xfId="0" applyFont="1"/>
    <xf numFmtId="176" fontId="104" fillId="14" borderId="3" xfId="0" applyNumberFormat="1" applyFont="1" applyFill="1" applyBorder="1" applyProtection="1">
      <protection locked="0"/>
    </xf>
    <xf numFmtId="176" fontId="104" fillId="14" borderId="4" xfId="0" applyNumberFormat="1" applyFont="1" applyFill="1" applyBorder="1" applyProtection="1">
      <protection locked="0"/>
    </xf>
    <xf numFmtId="168" fontId="104" fillId="14" borderId="4" xfId="0" applyNumberFormat="1" applyFont="1" applyFill="1" applyBorder="1" applyProtection="1">
      <protection locked="0"/>
    </xf>
    <xf numFmtId="168" fontId="104" fillId="14" borderId="3" xfId="0" applyNumberFormat="1" applyFont="1" applyFill="1" applyBorder="1" applyProtection="1">
      <protection locked="0"/>
    </xf>
    <xf numFmtId="2" fontId="104" fillId="14" borderId="1" xfId="0" applyNumberFormat="1" applyFont="1" applyFill="1" applyBorder="1" applyProtection="1">
      <protection locked="0"/>
    </xf>
    <xf numFmtId="2" fontId="104" fillId="14" borderId="50" xfId="0" applyNumberFormat="1" applyFont="1" applyFill="1" applyBorder="1" applyProtection="1">
      <protection locked="0"/>
    </xf>
    <xf numFmtId="0" fontId="81" fillId="15" borderId="0" xfId="0" applyFont="1" applyFill="1"/>
    <xf numFmtId="0" fontId="120" fillId="15" borderId="16" xfId="0" applyFont="1" applyFill="1" applyBorder="1"/>
    <xf numFmtId="0" fontId="76" fillId="15" borderId="15" xfId="0" applyFont="1" applyFill="1" applyBorder="1"/>
    <xf numFmtId="0" fontId="64" fillId="15" borderId="0" xfId="0" applyFont="1" applyFill="1"/>
    <xf numFmtId="0" fontId="0" fillId="0" borderId="15" xfId="0" applyBorder="1"/>
    <xf numFmtId="0" fontId="0" fillId="0" borderId="16" xfId="0" applyBorder="1"/>
    <xf numFmtId="0" fontId="78" fillId="18" borderId="15" xfId="0" applyFont="1" applyFill="1" applyBorder="1" applyAlignment="1">
      <alignment horizontal="center"/>
    </xf>
    <xf numFmtId="0" fontId="78" fillId="18" borderId="11" xfId="0" applyFont="1" applyFill="1" applyBorder="1" applyAlignment="1">
      <alignment horizontal="center"/>
    </xf>
    <xf numFmtId="0" fontId="78" fillId="18" borderId="10" xfId="0" applyFont="1" applyFill="1" applyBorder="1" applyAlignment="1">
      <alignment horizontal="center"/>
    </xf>
    <xf numFmtId="0" fontId="78" fillId="18" borderId="16" xfId="0" applyFont="1" applyFill="1" applyBorder="1" applyAlignment="1">
      <alignment horizontal="center"/>
    </xf>
    <xf numFmtId="0" fontId="79" fillId="15" borderId="17" xfId="0" applyFont="1" applyFill="1" applyBorder="1" applyAlignment="1">
      <alignment horizontal="center"/>
    </xf>
    <xf numFmtId="0" fontId="79" fillId="15" borderId="18" xfId="0" applyFont="1" applyFill="1" applyBorder="1" applyAlignment="1">
      <alignment horizontal="center"/>
    </xf>
    <xf numFmtId="0" fontId="79" fillId="15" borderId="19" xfId="0" applyFont="1" applyFill="1" applyBorder="1" applyAlignment="1">
      <alignment horizontal="center"/>
    </xf>
    <xf numFmtId="0" fontId="79" fillId="15" borderId="20" xfId="0" applyFont="1" applyFill="1" applyBorder="1" applyAlignment="1">
      <alignment horizontal="center"/>
    </xf>
    <xf numFmtId="0" fontId="81" fillId="18" borderId="15" xfId="0" applyFont="1" applyFill="1" applyBorder="1"/>
    <xf numFmtId="0" fontId="82" fillId="18" borderId="0" xfId="0" applyFont="1" applyFill="1"/>
    <xf numFmtId="0" fontId="0" fillId="18" borderId="0" xfId="0" applyFill="1"/>
    <xf numFmtId="0" fontId="81" fillId="18" borderId="0" xfId="0" applyFont="1" applyFill="1" applyAlignment="1">
      <alignment horizontal="right"/>
    </xf>
    <xf numFmtId="176" fontId="83" fillId="18" borderId="0" xfId="0" applyNumberFormat="1" applyFont="1" applyFill="1"/>
    <xf numFmtId="0" fontId="81" fillId="17" borderId="17" xfId="0" applyFont="1" applyFill="1" applyBorder="1"/>
    <xf numFmtId="0" fontId="85" fillId="17" borderId="38" xfId="0" applyFont="1" applyFill="1" applyBorder="1"/>
    <xf numFmtId="0" fontId="0" fillId="17" borderId="38" xfId="0" applyFill="1" applyBorder="1"/>
    <xf numFmtId="0" fontId="81" fillId="17" borderId="38" xfId="0" applyFont="1" applyFill="1" applyBorder="1" applyAlignment="1">
      <alignment horizontal="right"/>
    </xf>
    <xf numFmtId="176" fontId="86" fillId="17" borderId="38" xfId="0" applyNumberFormat="1" applyFont="1" applyFill="1" applyBorder="1"/>
    <xf numFmtId="176" fontId="85" fillId="17" borderId="38" xfId="0" applyNumberFormat="1" applyFont="1" applyFill="1" applyBorder="1"/>
    <xf numFmtId="0" fontId="87" fillId="17" borderId="20" xfId="0" applyFont="1" applyFill="1" applyBorder="1"/>
    <xf numFmtId="0" fontId="78" fillId="18" borderId="34" xfId="0" applyFont="1" applyFill="1" applyBorder="1"/>
    <xf numFmtId="0" fontId="78" fillId="18" borderId="33" xfId="0" applyFont="1" applyFill="1" applyBorder="1" applyAlignment="1">
      <alignment horizontal="center"/>
    </xf>
    <xf numFmtId="0" fontId="78" fillId="18" borderId="35" xfId="0" applyFont="1" applyFill="1" applyBorder="1" applyAlignment="1">
      <alignment horizontal="center"/>
    </xf>
    <xf numFmtId="0" fontId="78" fillId="0" borderId="24" xfId="0" applyFont="1" applyBorder="1"/>
    <xf numFmtId="165" fontId="66" fillId="0" borderId="6" xfId="0" applyNumberFormat="1" applyFont="1" applyBorder="1" applyAlignment="1">
      <alignment horizontal="center"/>
    </xf>
    <xf numFmtId="176" fontId="66" fillId="0" borderId="6" xfId="0" applyNumberFormat="1" applyFont="1" applyBorder="1" applyAlignment="1">
      <alignment horizontal="center"/>
    </xf>
    <xf numFmtId="176" fontId="67" fillId="0" borderId="6" xfId="0" applyNumberFormat="1" applyFont="1" applyBorder="1" applyAlignment="1">
      <alignment horizontal="center"/>
    </xf>
    <xf numFmtId="0" fontId="67" fillId="0" borderId="25" xfId="0" applyFont="1" applyBorder="1" applyAlignment="1">
      <alignment horizontal="center"/>
    </xf>
    <xf numFmtId="0" fontId="78" fillId="0" borderId="26" xfId="0" applyFont="1" applyBorder="1"/>
    <xf numFmtId="165" fontId="70" fillId="0" borderId="7" xfId="0" applyNumberFormat="1" applyFont="1" applyBorder="1" applyAlignment="1">
      <alignment horizontal="center"/>
    </xf>
    <xf numFmtId="176" fontId="70" fillId="0" borderId="7" xfId="0" applyNumberFormat="1" applyFont="1" applyBorder="1" applyAlignment="1">
      <alignment horizontal="center"/>
    </xf>
    <xf numFmtId="176" fontId="71" fillId="0" borderId="7" xfId="0" applyNumberFormat="1" applyFont="1" applyBorder="1" applyAlignment="1">
      <alignment horizontal="center"/>
    </xf>
    <xf numFmtId="0" fontId="71" fillId="0" borderId="27" xfId="0" applyFont="1" applyBorder="1" applyAlignment="1">
      <alignment horizontal="center"/>
    </xf>
    <xf numFmtId="0" fontId="78" fillId="0" borderId="28" xfId="0" applyFont="1" applyBorder="1"/>
    <xf numFmtId="165" fontId="70" fillId="0" borderId="8" xfId="0" applyNumberFormat="1" applyFont="1" applyBorder="1" applyAlignment="1">
      <alignment horizontal="center"/>
    </xf>
    <xf numFmtId="176" fontId="70" fillId="0" borderId="8" xfId="0" applyNumberFormat="1" applyFont="1" applyBorder="1" applyAlignment="1">
      <alignment horizontal="center"/>
    </xf>
    <xf numFmtId="176" fontId="71" fillId="0" borderId="8" xfId="0" applyNumberFormat="1" applyFont="1" applyBorder="1" applyAlignment="1">
      <alignment horizontal="center"/>
    </xf>
    <xf numFmtId="0" fontId="71" fillId="0" borderId="29" xfId="0" applyFont="1" applyBorder="1" applyAlignment="1">
      <alignment horizontal="center"/>
    </xf>
    <xf numFmtId="0" fontId="78" fillId="0" borderId="36" xfId="0" applyFont="1" applyBorder="1"/>
    <xf numFmtId="165" fontId="70" fillId="0" borderId="37" xfId="0" applyNumberFormat="1" applyFont="1" applyBorder="1" applyAlignment="1">
      <alignment horizontal="center"/>
    </xf>
    <xf numFmtId="176" fontId="70" fillId="0" borderId="37" xfId="0" applyNumberFormat="1" applyFont="1" applyBorder="1" applyAlignment="1">
      <alignment horizontal="center"/>
    </xf>
    <xf numFmtId="176" fontId="71" fillId="0" borderId="37" xfId="0" applyNumberFormat="1" applyFont="1" applyBorder="1" applyAlignment="1">
      <alignment horizontal="center"/>
    </xf>
    <xf numFmtId="0" fontId="71" fillId="0" borderId="32" xfId="0" applyFont="1" applyBorder="1" applyAlignment="1">
      <alignment horizontal="center"/>
    </xf>
    <xf numFmtId="0" fontId="78" fillId="18" borderId="21" xfId="0" applyFont="1" applyFill="1" applyBorder="1"/>
    <xf numFmtId="0" fontId="78" fillId="18" borderId="22" xfId="0" applyFont="1" applyFill="1" applyBorder="1" applyAlignment="1">
      <alignment horizontal="center"/>
    </xf>
    <xf numFmtId="0" fontId="78" fillId="18" borderId="23" xfId="0" applyFont="1" applyFill="1" applyBorder="1" applyAlignment="1">
      <alignment horizontal="center"/>
    </xf>
    <xf numFmtId="0" fontId="66" fillId="0" borderId="24" xfId="0" applyFont="1" applyBorder="1"/>
    <xf numFmtId="0" fontId="89" fillId="0" borderId="6" xfId="0" applyFont="1" applyBorder="1" applyAlignment="1">
      <alignment horizontal="center"/>
    </xf>
    <xf numFmtId="0" fontId="90" fillId="0" borderId="6" xfId="0" applyFont="1" applyBorder="1" applyAlignment="1">
      <alignment horizontal="center"/>
    </xf>
    <xf numFmtId="0" fontId="70" fillId="0" borderId="25" xfId="0" applyFont="1" applyBorder="1"/>
    <xf numFmtId="0" fontId="66" fillId="0" borderId="26" xfId="0" applyFont="1" applyBorder="1"/>
    <xf numFmtId="176" fontId="91" fillId="0" borderId="7" xfId="0" applyNumberFormat="1" applyFont="1" applyBorder="1" applyAlignment="1">
      <alignment horizontal="center"/>
    </xf>
    <xf numFmtId="176" fontId="92" fillId="0" borderId="7" xfId="0" applyNumberFormat="1" applyFont="1" applyBorder="1" applyAlignment="1">
      <alignment horizontal="center"/>
    </xf>
    <xf numFmtId="176" fontId="90" fillId="0" borderId="27" xfId="0" applyNumberFormat="1" applyFont="1" applyBorder="1" applyAlignment="1">
      <alignment horizontal="center"/>
    </xf>
    <xf numFmtId="0" fontId="66" fillId="0" borderId="28" xfId="0" applyFont="1" applyBorder="1"/>
    <xf numFmtId="176" fontId="91" fillId="0" borderId="8" xfId="0" applyNumberFormat="1" applyFont="1" applyBorder="1" applyAlignment="1">
      <alignment horizontal="center"/>
    </xf>
    <xf numFmtId="176" fontId="92" fillId="0" borderId="8" xfId="0" applyNumberFormat="1" applyFont="1" applyBorder="1" applyAlignment="1">
      <alignment horizontal="center"/>
    </xf>
    <xf numFmtId="176" fontId="90" fillId="0" borderId="29" xfId="0" applyNumberFormat="1" applyFont="1" applyBorder="1" applyAlignment="1">
      <alignment horizontal="center"/>
    </xf>
    <xf numFmtId="0" fontId="66" fillId="0" borderId="30" xfId="0" applyFont="1" applyBorder="1"/>
    <xf numFmtId="176" fontId="91" fillId="0" borderId="31" xfId="0" applyNumberFormat="1" applyFont="1" applyBorder="1" applyAlignment="1">
      <alignment horizontal="center"/>
    </xf>
    <xf numFmtId="176" fontId="92" fillId="0" borderId="31" xfId="0" applyNumberFormat="1" applyFont="1" applyBorder="1" applyAlignment="1">
      <alignment horizontal="center"/>
    </xf>
    <xf numFmtId="176" fontId="90" fillId="0" borderId="32" xfId="0" applyNumberFormat="1" applyFont="1" applyBorder="1" applyAlignment="1">
      <alignment horizontal="center"/>
    </xf>
    <xf numFmtId="0" fontId="0" fillId="0" borderId="17" xfId="0" applyBorder="1"/>
    <xf numFmtId="0" fontId="0" fillId="0" borderId="38" xfId="0" applyBorder="1"/>
    <xf numFmtId="0" fontId="0" fillId="0" borderId="20" xfId="0" applyBorder="1"/>
    <xf numFmtId="0" fontId="78" fillId="18" borderId="46" xfId="0" applyFont="1" applyFill="1" applyBorder="1"/>
    <xf numFmtId="0" fontId="78" fillId="18" borderId="47" xfId="0" applyFont="1" applyFill="1" applyBorder="1" applyAlignment="1">
      <alignment horizontal="center"/>
    </xf>
    <xf numFmtId="0" fontId="78" fillId="18" borderId="48" xfId="0" applyFont="1" applyFill="1" applyBorder="1" applyAlignment="1">
      <alignment horizontal="center"/>
    </xf>
    <xf numFmtId="0" fontId="78" fillId="0" borderId="39" xfId="0" applyFont="1" applyBorder="1"/>
    <xf numFmtId="176" fontId="66" fillId="0" borderId="40" xfId="0" applyNumberFormat="1" applyFont="1" applyBorder="1" applyAlignment="1">
      <alignment horizontal="center"/>
    </xf>
    <xf numFmtId="176" fontId="72" fillId="0" borderId="40" xfId="0" applyNumberFormat="1" applyFont="1" applyBorder="1" applyAlignment="1">
      <alignment horizontal="center"/>
    </xf>
    <xf numFmtId="0" fontId="66" fillId="0" borderId="40" xfId="0" applyFont="1" applyBorder="1" applyAlignment="1">
      <alignment horizontal="center"/>
    </xf>
    <xf numFmtId="177" fontId="67" fillId="0" borderId="40" xfId="0" applyNumberFormat="1" applyFont="1" applyBorder="1" applyAlignment="1">
      <alignment horizontal="center"/>
    </xf>
    <xf numFmtId="177" fontId="72" fillId="0" borderId="40" xfId="0" applyNumberFormat="1" applyFont="1" applyBorder="1" applyAlignment="1">
      <alignment horizontal="center"/>
    </xf>
    <xf numFmtId="177" fontId="72" fillId="0" borderId="49" xfId="0" applyNumberFormat="1" applyFont="1" applyBorder="1" applyAlignment="1">
      <alignment horizontal="center"/>
    </xf>
    <xf numFmtId="0" fontId="93" fillId="0" borderId="17" xfId="0" applyFont="1" applyBorder="1"/>
    <xf numFmtId="0" fontId="95" fillId="18" borderId="12" xfId="0" applyFont="1" applyFill="1" applyBorder="1"/>
    <xf numFmtId="0" fontId="95" fillId="18" borderId="13" xfId="0" applyFont="1" applyFill="1" applyBorder="1"/>
    <xf numFmtId="0" fontId="95" fillId="18" borderId="52" xfId="0" applyFont="1" applyFill="1" applyBorder="1"/>
    <xf numFmtId="0" fontId="95" fillId="18" borderId="51" xfId="0" applyFont="1" applyFill="1" applyBorder="1"/>
    <xf numFmtId="0" fontId="80" fillId="19" borderId="15" xfId="0" applyFont="1" applyFill="1" applyBorder="1"/>
    <xf numFmtId="0" fontId="0" fillId="19" borderId="0" xfId="0" applyFill="1"/>
    <xf numFmtId="0" fontId="80" fillId="19" borderId="0" xfId="0" applyFont="1" applyFill="1"/>
    <xf numFmtId="0" fontId="80" fillId="19" borderId="16" xfId="0" applyFont="1" applyFill="1" applyBorder="1"/>
    <xf numFmtId="0" fontId="99" fillId="5" borderId="15" xfId="0" applyFont="1" applyFill="1" applyBorder="1"/>
    <xf numFmtId="0" fontId="99" fillId="5" borderId="0" xfId="0" applyFont="1" applyFill="1"/>
    <xf numFmtId="0" fontId="0" fillId="5" borderId="15" xfId="0" applyFill="1" applyBorder="1"/>
    <xf numFmtId="0" fontId="100" fillId="5" borderId="15" xfId="0" applyFont="1" applyFill="1" applyBorder="1"/>
    <xf numFmtId="0" fontId="95" fillId="5" borderId="0" xfId="0" applyFont="1" applyFill="1"/>
    <xf numFmtId="0" fontId="93" fillId="5" borderId="15" xfId="0" applyFont="1" applyFill="1" applyBorder="1" applyAlignment="1">
      <alignment vertical="top" wrapText="1"/>
    </xf>
    <xf numFmtId="0" fontId="80" fillId="13" borderId="15" xfId="0" applyFont="1" applyFill="1" applyBorder="1"/>
    <xf numFmtId="0" fontId="0" fillId="13" borderId="0" xfId="0" applyFill="1"/>
    <xf numFmtId="0" fontId="80" fillId="13" borderId="0" xfId="0" applyFont="1" applyFill="1"/>
    <xf numFmtId="0" fontId="0" fillId="13" borderId="16" xfId="0" applyFill="1" applyBorder="1"/>
    <xf numFmtId="0" fontId="101" fillId="13" borderId="15" xfId="0" applyFont="1" applyFill="1" applyBorder="1" applyAlignment="1">
      <alignment horizontal="center" wrapText="1"/>
    </xf>
    <xf numFmtId="0" fontId="101" fillId="13" borderId="0" xfId="0" applyFont="1" applyFill="1" applyAlignment="1">
      <alignment horizontal="center" wrapText="1"/>
    </xf>
    <xf numFmtId="0" fontId="101" fillId="13" borderId="16" xfId="0" applyFont="1" applyFill="1" applyBorder="1" applyAlignment="1">
      <alignment horizontal="center" wrapText="1"/>
    </xf>
    <xf numFmtId="0" fontId="0" fillId="6" borderId="15" xfId="0" applyFill="1" applyBorder="1"/>
    <xf numFmtId="164" fontId="0" fillId="6" borderId="0" xfId="0" applyNumberFormat="1" applyFill="1"/>
    <xf numFmtId="165" fontId="0" fillId="6" borderId="0" xfId="0" applyNumberFormat="1" applyFill="1"/>
    <xf numFmtId="166" fontId="0" fillId="6" borderId="0" xfId="0" applyNumberFormat="1" applyFill="1"/>
    <xf numFmtId="167" fontId="0" fillId="6" borderId="0" xfId="0" applyNumberFormat="1" applyFill="1"/>
    <xf numFmtId="167" fontId="0" fillId="5" borderId="0" xfId="0" applyNumberFormat="1" applyFill="1"/>
    <xf numFmtId="2" fontId="0" fillId="5" borderId="0" xfId="0" applyNumberFormat="1" applyFill="1"/>
    <xf numFmtId="167" fontId="0" fillId="5" borderId="16" xfId="0" applyNumberFormat="1" applyFill="1" applyBorder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2" fontId="0" fillId="0" borderId="0" xfId="0" applyNumberFormat="1"/>
    <xf numFmtId="167" fontId="0" fillId="0" borderId="16" xfId="0" applyNumberFormat="1" applyBorder="1"/>
    <xf numFmtId="0" fontId="0" fillId="6" borderId="0" xfId="0" applyFill="1"/>
    <xf numFmtId="2" fontId="0" fillId="6" borderId="0" xfId="0" applyNumberFormat="1" applyFill="1"/>
    <xf numFmtId="167" fontId="0" fillId="6" borderId="16" xfId="0" applyNumberFormat="1" applyFill="1" applyBorder="1"/>
    <xf numFmtId="0" fontId="93" fillId="0" borderId="15" xfId="0" applyFont="1" applyBorder="1"/>
    <xf numFmtId="0" fontId="101" fillId="19" borderId="15" xfId="0" applyFont="1" applyFill="1" applyBorder="1" applyAlignment="1">
      <alignment horizontal="center"/>
    </xf>
    <xf numFmtId="0" fontId="101" fillId="19" borderId="0" xfId="0" applyFont="1" applyFill="1" applyAlignment="1">
      <alignment horizontal="center"/>
    </xf>
    <xf numFmtId="0" fontId="101" fillId="19" borderId="16" xfId="0" applyFont="1" applyFill="1" applyBorder="1" applyAlignment="1">
      <alignment horizontal="center"/>
    </xf>
    <xf numFmtId="0" fontId="112" fillId="0" borderId="0" xfId="0" applyFont="1"/>
    <xf numFmtId="0" fontId="1" fillId="0" borderId="0" xfId="0" applyFont="1"/>
    <xf numFmtId="0" fontId="113" fillId="0" borderId="0" xfId="0" applyFont="1"/>
    <xf numFmtId="0" fontId="114" fillId="0" borderId="0" xfId="0" applyFont="1"/>
    <xf numFmtId="0" fontId="115" fillId="0" borderId="0" xfId="0" applyFont="1"/>
    <xf numFmtId="0" fontId="116" fillId="0" borderId="0" xfId="0" applyFont="1"/>
    <xf numFmtId="0" fontId="81" fillId="0" borderId="0" xfId="0" applyFont="1"/>
    <xf numFmtId="0" fontId="3" fillId="0" borderId="0" xfId="0" applyFont="1"/>
    <xf numFmtId="0" fontId="79" fillId="0" borderId="0" xfId="0" applyFont="1"/>
    <xf numFmtId="0" fontId="117" fillId="0" borderId="0" xfId="0" applyFont="1"/>
    <xf numFmtId="0" fontId="108" fillId="13" borderId="0" xfId="0" applyFont="1" applyFill="1" applyAlignment="1">
      <alignment horizontal="center" vertical="center"/>
    </xf>
    <xf numFmtId="0" fontId="108" fillId="19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0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3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106" fillId="15" borderId="0" xfId="0" applyFont="1" applyFill="1"/>
    <xf numFmtId="0" fontId="107" fillId="15" borderId="0" xfId="0" applyFont="1" applyFill="1"/>
    <xf numFmtId="0" fontId="102" fillId="15" borderId="0" xfId="0" applyFont="1" applyFill="1"/>
    <xf numFmtId="0" fontId="50" fillId="12" borderId="0" xfId="0" applyFont="1" applyFill="1" applyAlignment="1">
      <alignment horizontal="center" vertical="center"/>
    </xf>
    <xf numFmtId="0" fontId="123" fillId="12" borderId="0" xfId="0" applyFont="1" applyFill="1" applyAlignment="1">
      <alignment horizontal="center" vertical="center"/>
    </xf>
    <xf numFmtId="0" fontId="50" fillId="13" borderId="0" xfId="0" applyFont="1" applyFill="1" applyAlignment="1">
      <alignment horizontal="center" vertical="center"/>
    </xf>
    <xf numFmtId="0" fontId="75" fillId="18" borderId="0" xfId="0" applyFont="1" applyFill="1"/>
    <xf numFmtId="167" fontId="122" fillId="0" borderId="0" xfId="0" applyNumberFormat="1" applyFont="1"/>
    <xf numFmtId="0" fontId="19" fillId="0" borderId="0" xfId="0" applyFont="1"/>
    <xf numFmtId="2" fontId="122" fillId="0" borderId="0" xfId="0" applyNumberFormat="1" applyFont="1"/>
    <xf numFmtId="0" fontId="23" fillId="3" borderId="0" xfId="0" applyFont="1" applyFill="1"/>
    <xf numFmtId="0" fontId="24" fillId="4" borderId="0" xfId="0" applyFont="1" applyFill="1" applyAlignment="1">
      <alignment horizontal="center" vertical="center" wrapText="1"/>
    </xf>
    <xf numFmtId="0" fontId="103" fillId="13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wrapText="1"/>
    </xf>
    <xf numFmtId="0" fontId="110" fillId="13" borderId="0" xfId="0" applyFont="1" applyFill="1" applyAlignment="1">
      <alignment horizontal="center" wrapText="1"/>
    </xf>
    <xf numFmtId="0" fontId="103" fillId="13" borderId="0" xfId="0" applyFont="1" applyFill="1" applyAlignment="1">
      <alignment horizontal="center" wrapText="1"/>
    </xf>
    <xf numFmtId="0" fontId="0" fillId="3" borderId="0" xfId="0" applyFill="1"/>
    <xf numFmtId="169" fontId="0" fillId="3" borderId="0" xfId="0" applyNumberFormat="1" applyFill="1"/>
    <xf numFmtId="165" fontId="0" fillId="3" borderId="0" xfId="0" applyNumberFormat="1" applyFill="1"/>
    <xf numFmtId="170" fontId="0" fillId="3" borderId="0" xfId="0" applyNumberFormat="1" applyFill="1"/>
    <xf numFmtId="10" fontId="0" fillId="3" borderId="0" xfId="0" applyNumberFormat="1" applyFill="1"/>
    <xf numFmtId="167" fontId="0" fillId="3" borderId="0" xfId="0" applyNumberFormat="1" applyFill="1"/>
    <xf numFmtId="171" fontId="0" fillId="3" borderId="0" xfId="0" applyNumberFormat="1" applyFill="1"/>
    <xf numFmtId="3" fontId="22" fillId="0" borderId="0" xfId="0" applyNumberFormat="1" applyFont="1"/>
    <xf numFmtId="0" fontId="26" fillId="0" borderId="0" xfId="0" applyFont="1"/>
    <xf numFmtId="10" fontId="0" fillId="0" borderId="0" xfId="0" applyNumberFormat="1"/>
    <xf numFmtId="169" fontId="0" fillId="5" borderId="0" xfId="0" applyNumberFormat="1" applyFill="1"/>
    <xf numFmtId="165" fontId="0" fillId="5" borderId="0" xfId="0" applyNumberFormat="1" applyFill="1"/>
    <xf numFmtId="170" fontId="0" fillId="5" borderId="0" xfId="0" applyNumberFormat="1" applyFill="1"/>
    <xf numFmtId="10" fontId="0" fillId="5" borderId="0" xfId="0" applyNumberFormat="1" applyFill="1"/>
    <xf numFmtId="171" fontId="0" fillId="5" borderId="0" xfId="0" applyNumberFormat="1" applyFill="1"/>
    <xf numFmtId="0" fontId="102" fillId="0" borderId="0" xfId="0" applyFont="1"/>
    <xf numFmtId="0" fontId="109" fillId="15" borderId="0" xfId="0" applyFont="1" applyFill="1"/>
    <xf numFmtId="0" fontId="15" fillId="0" borderId="0" xfId="0" applyFont="1"/>
    <xf numFmtId="0" fontId="28" fillId="3" borderId="0" xfId="0" applyFont="1" applyFill="1"/>
    <xf numFmtId="0" fontId="20" fillId="2" borderId="0" xfId="0" applyFont="1" applyFill="1" applyAlignment="1">
      <alignment horizontal="center" wrapText="1"/>
    </xf>
    <xf numFmtId="0" fontId="111" fillId="13" borderId="0" xfId="0" applyFont="1" applyFill="1"/>
    <xf numFmtId="0" fontId="29" fillId="2" borderId="0" xfId="0" applyFont="1" applyFill="1"/>
    <xf numFmtId="0" fontId="95" fillId="0" borderId="0" xfId="0" applyFont="1"/>
    <xf numFmtId="0" fontId="16" fillId="0" borderId="0" xfId="0" applyFont="1"/>
    <xf numFmtId="0" fontId="121" fillId="13" borderId="57" xfId="0" applyFont="1" applyFill="1" applyBorder="1"/>
    <xf numFmtId="0" fontId="0" fillId="13" borderId="52" xfId="0" applyFill="1" applyBorder="1"/>
    <xf numFmtId="0" fontId="0" fillId="13" borderId="58" xfId="0" applyFill="1" applyBorder="1"/>
    <xf numFmtId="0" fontId="56" fillId="16" borderId="59" xfId="0" applyFont="1" applyFill="1" applyBorder="1" applyAlignment="1">
      <alignment horizontal="center"/>
    </xf>
    <xf numFmtId="0" fontId="56" fillId="16" borderId="0" xfId="0" applyFont="1" applyFill="1" applyAlignment="1">
      <alignment horizontal="center" wrapText="1"/>
    </xf>
    <xf numFmtId="0" fontId="56" fillId="16" borderId="60" xfId="0" applyFont="1" applyFill="1" applyBorder="1" applyAlignment="1">
      <alignment horizontal="center" wrapText="1"/>
    </xf>
    <xf numFmtId="0" fontId="122" fillId="15" borderId="59" xfId="0" applyFont="1" applyFill="1" applyBorder="1" applyAlignment="1">
      <alignment horizontal="center"/>
    </xf>
    <xf numFmtId="176" fontId="122" fillId="15" borderId="53" xfId="0" applyNumberFormat="1" applyFont="1" applyFill="1" applyBorder="1" applyAlignment="1">
      <alignment horizontal="center"/>
    </xf>
    <xf numFmtId="178" fontId="122" fillId="15" borderId="53" xfId="0" applyNumberFormat="1" applyFont="1" applyFill="1" applyBorder="1" applyAlignment="1">
      <alignment horizontal="center"/>
    </xf>
    <xf numFmtId="3" fontId="122" fillId="15" borderId="60" xfId="0" applyNumberFormat="1" applyFont="1" applyFill="1" applyBorder="1" applyAlignment="1">
      <alignment horizontal="center"/>
    </xf>
    <xf numFmtId="0" fontId="0" fillId="12" borderId="61" xfId="0" applyFill="1" applyBorder="1" applyAlignment="1">
      <alignment horizontal="center"/>
    </xf>
    <xf numFmtId="176" fontId="0" fillId="12" borderId="54" xfId="0" applyNumberFormat="1" applyFill="1" applyBorder="1" applyAlignment="1">
      <alignment horizontal="center"/>
    </xf>
    <xf numFmtId="178" fontId="0" fillId="12" borderId="54" xfId="0" applyNumberFormat="1" applyFill="1" applyBorder="1" applyAlignment="1">
      <alignment horizontal="center"/>
    </xf>
    <xf numFmtId="3" fontId="122" fillId="12" borderId="62" xfId="0" applyNumberFormat="1" applyFont="1" applyFill="1" applyBorder="1" applyAlignment="1">
      <alignment horizontal="center"/>
    </xf>
    <xf numFmtId="0" fontId="0" fillId="15" borderId="61" xfId="0" applyFill="1" applyBorder="1" applyAlignment="1">
      <alignment horizontal="center"/>
    </xf>
    <xf numFmtId="176" fontId="0" fillId="15" borderId="54" xfId="0" applyNumberFormat="1" applyFill="1" applyBorder="1" applyAlignment="1">
      <alignment horizontal="center"/>
    </xf>
    <xf numFmtId="178" fontId="0" fillId="15" borderId="54" xfId="0" applyNumberFormat="1" applyFill="1" applyBorder="1" applyAlignment="1">
      <alignment horizontal="center"/>
    </xf>
    <xf numFmtId="3" fontId="122" fillId="15" borderId="62" xfId="0" applyNumberFormat="1" applyFont="1" applyFill="1" applyBorder="1" applyAlignment="1">
      <alignment horizontal="center"/>
    </xf>
    <xf numFmtId="176" fontId="0" fillId="12" borderId="55" xfId="0" applyNumberFormat="1" applyFill="1" applyBorder="1" applyAlignment="1">
      <alignment horizontal="center"/>
    </xf>
    <xf numFmtId="178" fontId="0" fillId="12" borderId="55" xfId="0" applyNumberFormat="1" applyFill="1" applyBorder="1" applyAlignment="1">
      <alignment horizontal="center"/>
    </xf>
    <xf numFmtId="0" fontId="0" fillId="15" borderId="63" xfId="0" applyFill="1" applyBorder="1" applyAlignment="1">
      <alignment horizontal="center"/>
    </xf>
    <xf numFmtId="176" fontId="0" fillId="15" borderId="56" xfId="0" applyNumberFormat="1" applyFill="1" applyBorder="1" applyAlignment="1">
      <alignment horizontal="center"/>
    </xf>
    <xf numFmtId="178" fontId="0" fillId="15" borderId="56" xfId="0" applyNumberFormat="1" applyFill="1" applyBorder="1" applyAlignment="1">
      <alignment horizontal="center"/>
    </xf>
    <xf numFmtId="3" fontId="122" fillId="15" borderId="64" xfId="0" applyNumberFormat="1" applyFont="1" applyFill="1" applyBorder="1" applyAlignment="1">
      <alignment horizontal="center"/>
    </xf>
    <xf numFmtId="0" fontId="21" fillId="0" borderId="0" xfId="0" applyFont="1"/>
    <xf numFmtId="0" fontId="27" fillId="8" borderId="0" xfId="0" applyFont="1" applyFill="1"/>
    <xf numFmtId="169" fontId="0" fillId="0" borderId="0" xfId="0" applyNumberFormat="1"/>
    <xf numFmtId="172" fontId="0" fillId="0" borderId="0" xfId="0" applyNumberFormat="1"/>
    <xf numFmtId="170" fontId="0" fillId="0" borderId="0" xfId="0" applyNumberFormat="1"/>
    <xf numFmtId="173" fontId="0" fillId="0" borderId="0" xfId="0" applyNumberFormat="1"/>
    <xf numFmtId="166" fontId="0" fillId="9" borderId="0" xfId="0" applyNumberFormat="1" applyFill="1"/>
    <xf numFmtId="0" fontId="0" fillId="9" borderId="0" xfId="0" applyFill="1"/>
    <xf numFmtId="167" fontId="0" fillId="9" borderId="0" xfId="0" applyNumberFormat="1" applyFill="1"/>
    <xf numFmtId="0" fontId="31" fillId="0" borderId="0" xfId="0" applyFont="1"/>
    <xf numFmtId="0" fontId="32" fillId="4" borderId="0" xfId="0" applyFont="1" applyFill="1"/>
    <xf numFmtId="0" fontId="33" fillId="4" borderId="0" xfId="0" applyFont="1" applyFill="1"/>
    <xf numFmtId="0" fontId="0" fillId="4" borderId="0" xfId="0" applyFill="1"/>
    <xf numFmtId="0" fontId="33" fillId="0" borderId="0" xfId="0" applyFont="1"/>
    <xf numFmtId="0" fontId="6" fillId="3" borderId="0" xfId="0" applyFont="1" applyFill="1"/>
    <xf numFmtId="168" fontId="33" fillId="0" borderId="0" xfId="0" applyNumberFormat="1" applyFont="1"/>
    <xf numFmtId="172" fontId="33" fillId="0" borderId="0" xfId="0" applyNumberFormat="1" applyFont="1"/>
    <xf numFmtId="165" fontId="33" fillId="0" borderId="0" xfId="0" applyNumberFormat="1" applyFont="1"/>
    <xf numFmtId="0" fontId="25" fillId="2" borderId="0" xfId="0" applyFont="1" applyFill="1" applyAlignment="1">
      <alignment horizontal="center" vertical="center" wrapText="1"/>
    </xf>
    <xf numFmtId="0" fontId="29" fillId="10" borderId="0" xfId="0" applyFont="1" applyFill="1" applyAlignment="1">
      <alignment horizontal="center" wrapText="1"/>
    </xf>
    <xf numFmtId="0" fontId="29" fillId="2" borderId="0" xfId="0" applyFont="1" applyFill="1" applyAlignment="1">
      <alignment horizontal="center" vertical="center" wrapText="1"/>
    </xf>
    <xf numFmtId="167" fontId="105" fillId="15" borderId="3" xfId="0" applyNumberFormat="1" applyFont="1" applyFill="1" applyBorder="1"/>
    <xf numFmtId="2" fontId="105" fillId="15" borderId="4" xfId="0" applyNumberFormat="1" applyFont="1" applyFill="1" applyBorder="1"/>
    <xf numFmtId="169" fontId="0" fillId="3" borderId="5" xfId="0" applyNumberFormat="1" applyFill="1" applyBorder="1"/>
    <xf numFmtId="168" fontId="105" fillId="15" borderId="1" xfId="0" applyNumberFormat="1" applyFont="1" applyFill="1" applyBorder="1"/>
    <xf numFmtId="172" fontId="0" fillId="3" borderId="0" xfId="0" applyNumberFormat="1" applyFill="1"/>
    <xf numFmtId="168" fontId="0" fillId="0" borderId="0" xfId="0" applyNumberFormat="1"/>
    <xf numFmtId="3" fontId="0" fillId="0" borderId="0" xfId="0" applyNumberFormat="1"/>
    <xf numFmtId="169" fontId="0" fillId="5" borderId="5" xfId="0" applyNumberFormat="1" applyFill="1" applyBorder="1"/>
    <xf numFmtId="172" fontId="0" fillId="5" borderId="0" xfId="0" applyNumberFormat="1" applyFill="1"/>
    <xf numFmtId="167" fontId="105" fillId="12" borderId="3" xfId="0" applyNumberFormat="1" applyFont="1" applyFill="1" applyBorder="1"/>
    <xf numFmtId="2" fontId="105" fillId="12" borderId="4" xfId="0" applyNumberFormat="1" applyFont="1" applyFill="1" applyBorder="1"/>
    <xf numFmtId="168" fontId="105" fillId="12" borderId="1" xfId="0" applyNumberFormat="1" applyFont="1" applyFill="1" applyBorder="1"/>
    <xf numFmtId="2" fontId="105" fillId="12" borderId="3" xfId="0" applyNumberFormat="1" applyFont="1" applyFill="1" applyBorder="1"/>
    <xf numFmtId="0" fontId="27" fillId="0" borderId="0" xfId="0" applyFont="1"/>
    <xf numFmtId="0" fontId="20" fillId="2" borderId="0" xfId="0" applyFont="1" applyFill="1"/>
    <xf numFmtId="0" fontId="34" fillId="0" borderId="0" xfId="0" applyFont="1"/>
    <xf numFmtId="0" fontId="34" fillId="0" borderId="1" xfId="0" applyFont="1" applyBorder="1"/>
    <xf numFmtId="168" fontId="34" fillId="0" borderId="0" xfId="0" applyNumberFormat="1" applyFont="1"/>
    <xf numFmtId="172" fontId="34" fillId="0" borderId="0" xfId="0" applyNumberFormat="1" applyFont="1"/>
    <xf numFmtId="165" fontId="34" fillId="0" borderId="0" xfId="0" applyNumberFormat="1" applyFont="1"/>
    <xf numFmtId="0" fontId="35" fillId="2" borderId="0" xfId="0" applyFont="1" applyFill="1"/>
    <xf numFmtId="0" fontId="29" fillId="2" borderId="0" xfId="0" applyFont="1" applyFill="1" applyAlignment="1">
      <alignment horizontal="center" wrapText="1"/>
    </xf>
    <xf numFmtId="0" fontId="36" fillId="4" borderId="0" xfId="0" applyFont="1" applyFill="1"/>
    <xf numFmtId="0" fontId="29" fillId="4" borderId="0" xfId="0" applyFont="1" applyFill="1" applyAlignment="1">
      <alignment horizontal="center"/>
    </xf>
    <xf numFmtId="0" fontId="37" fillId="0" borderId="0" xfId="0" applyFont="1"/>
    <xf numFmtId="168" fontId="38" fillId="0" borderId="0" xfId="0" applyNumberFormat="1" applyFont="1"/>
    <xf numFmtId="0" fontId="38" fillId="0" borderId="0" xfId="0" applyFont="1"/>
    <xf numFmtId="9" fontId="0" fillId="0" borderId="0" xfId="0" applyNumberFormat="1"/>
    <xf numFmtId="0" fontId="4" fillId="3" borderId="0" xfId="0" applyFont="1" applyFill="1"/>
    <xf numFmtId="0" fontId="39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3" fontId="0" fillId="3" borderId="0" xfId="0" applyNumberFormat="1" applyFill="1"/>
    <xf numFmtId="0" fontId="0" fillId="5" borderId="0" xfId="0" applyFill="1" applyAlignment="1">
      <alignment horizontal="center"/>
    </xf>
    <xf numFmtId="3" fontId="0" fillId="5" borderId="0" xfId="0" applyNumberFormat="1" applyFill="1"/>
    <xf numFmtId="0" fontId="35" fillId="4" borderId="0" xfId="0" applyFont="1" applyFill="1"/>
    <xf numFmtId="0" fontId="20" fillId="2" borderId="0" xfId="0" applyFont="1" applyFill="1" applyAlignment="1">
      <alignment horizontal="center" vertical="center" wrapText="1"/>
    </xf>
    <xf numFmtId="0" fontId="27" fillId="5" borderId="0" xfId="0" applyFont="1" applyFill="1"/>
    <xf numFmtId="3" fontId="0" fillId="11" borderId="0" xfId="0" applyNumberFormat="1" applyFill="1"/>
    <xf numFmtId="167" fontId="20" fillId="2" borderId="0" xfId="0" applyNumberFormat="1" applyFont="1" applyFill="1" applyAlignment="1">
      <alignment horizontal="center" vertical="center" wrapText="1"/>
    </xf>
    <xf numFmtId="2" fontId="55" fillId="15" borderId="0" xfId="0" applyNumberFormat="1" applyFont="1" applyFill="1"/>
    <xf numFmtId="0" fontId="57" fillId="0" borderId="0" xfId="0" applyFont="1"/>
    <xf numFmtId="0" fontId="34" fillId="0" borderId="2" xfId="0" applyFont="1" applyBorder="1" applyAlignment="1">
      <alignment horizontal="center" wrapText="1"/>
    </xf>
    <xf numFmtId="0" fontId="34" fillId="0" borderId="2" xfId="0" applyFont="1" applyBorder="1"/>
    <xf numFmtId="9" fontId="34" fillId="0" borderId="2" xfId="0" applyNumberFormat="1" applyFont="1" applyBorder="1"/>
    <xf numFmtId="2" fontId="34" fillId="0" borderId="2" xfId="0" applyNumberFormat="1" applyFont="1" applyBorder="1"/>
    <xf numFmtId="169" fontId="34" fillId="0" borderId="2" xfId="0" applyNumberFormat="1" applyFont="1" applyBorder="1"/>
    <xf numFmtId="2" fontId="34" fillId="0" borderId="0" xfId="0" applyNumberFormat="1" applyFont="1"/>
    <xf numFmtId="0" fontId="40" fillId="0" borderId="0" xfId="0" applyFont="1"/>
    <xf numFmtId="0" fontId="41" fillId="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174" fontId="0" fillId="0" borderId="0" xfId="0" applyNumberFormat="1"/>
    <xf numFmtId="171" fontId="0" fillId="0" borderId="0" xfId="0" applyNumberFormat="1"/>
    <xf numFmtId="0" fontId="45" fillId="0" borderId="0" xfId="0" applyFont="1"/>
    <xf numFmtId="0" fontId="46" fillId="0" borderId="0" xfId="0" applyFont="1"/>
    <xf numFmtId="0" fontId="17" fillId="4" borderId="0" xfId="0" applyFont="1" applyFill="1"/>
    <xf numFmtId="0" fontId="25" fillId="4" borderId="0" xfId="0" applyFont="1" applyFill="1" applyAlignment="1">
      <alignment horizontal="center" vertical="center" wrapText="1"/>
    </xf>
    <xf numFmtId="0" fontId="11" fillId="3" borderId="0" xfId="0" applyFont="1" applyFill="1"/>
    <xf numFmtId="168" fontId="11" fillId="3" borderId="0" xfId="0" applyNumberFormat="1" applyFont="1" applyFill="1"/>
    <xf numFmtId="165" fontId="11" fillId="3" borderId="0" xfId="0" applyNumberFormat="1" applyFont="1" applyFill="1"/>
    <xf numFmtId="164" fontId="11" fillId="3" borderId="0" xfId="0" applyNumberFormat="1" applyFont="1" applyFill="1"/>
    <xf numFmtId="0" fontId="18" fillId="3" borderId="0" xfId="0" applyFont="1" applyFill="1"/>
    <xf numFmtId="0" fontId="11" fillId="5" borderId="0" xfId="0" applyFont="1" applyFill="1"/>
    <xf numFmtId="168" fontId="11" fillId="5" borderId="0" xfId="0" applyNumberFormat="1" applyFont="1" applyFill="1"/>
    <xf numFmtId="165" fontId="11" fillId="5" borderId="0" xfId="0" applyNumberFormat="1" applyFont="1" applyFill="1"/>
    <xf numFmtId="164" fontId="11" fillId="5" borderId="0" xfId="0" applyNumberFormat="1" applyFont="1" applyFill="1"/>
    <xf numFmtId="0" fontId="18" fillId="5" borderId="0" xfId="0" applyFont="1" applyFill="1"/>
    <xf numFmtId="3" fontId="11" fillId="3" borderId="0" xfId="0" applyNumberFormat="1" applyFont="1" applyFill="1"/>
    <xf numFmtId="167" fontId="11" fillId="3" borderId="0" xfId="0" applyNumberFormat="1" applyFont="1" applyFill="1"/>
    <xf numFmtId="175" fontId="11" fillId="3" borderId="0" xfId="0" applyNumberFormat="1" applyFont="1" applyFill="1"/>
    <xf numFmtId="3" fontId="11" fillId="5" borderId="0" xfId="0" applyNumberFormat="1" applyFont="1" applyFill="1"/>
    <xf numFmtId="167" fontId="11" fillId="5" borderId="0" xfId="0" applyNumberFormat="1" applyFont="1" applyFill="1"/>
    <xf numFmtId="175" fontId="11" fillId="5" borderId="0" xfId="0" applyNumberFormat="1" applyFont="1" applyFill="1"/>
    <xf numFmtId="169" fontId="11" fillId="3" borderId="0" xfId="0" applyNumberFormat="1" applyFont="1" applyFill="1"/>
    <xf numFmtId="166" fontId="11" fillId="3" borderId="0" xfId="0" applyNumberFormat="1" applyFont="1" applyFill="1"/>
    <xf numFmtId="169" fontId="11" fillId="5" borderId="0" xfId="0" applyNumberFormat="1" applyFont="1" applyFill="1"/>
    <xf numFmtId="166" fontId="11" fillId="5" borderId="0" xfId="0" applyNumberFormat="1" applyFont="1" applyFill="1"/>
    <xf numFmtId="0" fontId="59" fillId="13" borderId="0" xfId="0" applyFont="1" applyFill="1"/>
    <xf numFmtId="170" fontId="11" fillId="5" borderId="0" xfId="0" applyNumberFormat="1" applyFont="1" applyFill="1"/>
    <xf numFmtId="170" fontId="11" fillId="3" borderId="0" xfId="0" applyNumberFormat="1" applyFont="1" applyFill="1"/>
    <xf numFmtId="0" fontId="60" fillId="15" borderId="0" xfId="0" applyFont="1" applyFill="1"/>
    <xf numFmtId="170" fontId="60" fillId="15" borderId="0" xfId="0" applyNumberFormat="1" applyFont="1" applyFill="1"/>
    <xf numFmtId="0" fontId="61" fillId="15" borderId="0" xfId="0" applyFont="1" applyFill="1"/>
    <xf numFmtId="9" fontId="11" fillId="3" borderId="0" xfId="0" applyNumberFormat="1" applyFont="1" applyFill="1"/>
    <xf numFmtId="9" fontId="11" fillId="5" borderId="0" xfId="0" applyNumberFormat="1" applyFont="1" applyFill="1"/>
    <xf numFmtId="0" fontId="47" fillId="3" borderId="0" xfId="0" applyFont="1" applyFill="1"/>
    <xf numFmtId="0" fontId="14" fillId="4" borderId="0" xfId="0" applyFont="1" applyFill="1"/>
    <xf numFmtId="0" fontId="48" fillId="0" borderId="0" xfId="0" applyFont="1"/>
    <xf numFmtId="0" fontId="104" fillId="14" borderId="0" xfId="0" applyFont="1" applyFill="1" applyProtection="1">
      <protection locked="0"/>
    </xf>
    <xf numFmtId="166" fontId="104" fillId="14" borderId="0" xfId="0" applyNumberFormat="1" applyFont="1" applyFill="1" applyProtection="1">
      <protection locked="0"/>
    </xf>
    <xf numFmtId="164" fontId="104" fillId="14" borderId="0" xfId="0" applyNumberFormat="1" applyFont="1" applyFill="1" applyProtection="1">
      <protection locked="0"/>
    </xf>
    <xf numFmtId="3" fontId="104" fillId="14" borderId="0" xfId="0" applyNumberFormat="1" applyFont="1" applyFill="1" applyProtection="1">
      <protection locked="0"/>
    </xf>
    <xf numFmtId="168" fontId="104" fillId="14" borderId="0" xfId="0" applyNumberFormat="1" applyFont="1" applyFill="1" applyProtection="1">
      <protection locked="0"/>
    </xf>
    <xf numFmtId="178" fontId="58" fillId="14" borderId="53" xfId="0" applyNumberFormat="1" applyFont="1" applyFill="1" applyBorder="1" applyAlignment="1" applyProtection="1">
      <alignment horizontal="center"/>
      <protection locked="0"/>
    </xf>
    <xf numFmtId="178" fontId="58" fillId="14" borderId="0" xfId="0" applyNumberFormat="1" applyFont="1" applyFill="1" applyAlignment="1" applyProtection="1">
      <alignment horizontal="center"/>
      <protection locked="0"/>
    </xf>
    <xf numFmtId="178" fontId="49" fillId="14" borderId="54" xfId="0" applyNumberFormat="1" applyFont="1" applyFill="1" applyBorder="1" applyAlignment="1" applyProtection="1">
      <alignment horizontal="center"/>
      <protection locked="0"/>
    </xf>
    <xf numFmtId="178" fontId="49" fillId="14" borderId="55" xfId="0" applyNumberFormat="1" applyFont="1" applyFill="1" applyBorder="1" applyAlignment="1" applyProtection="1">
      <alignment horizontal="center"/>
      <protection locked="0"/>
    </xf>
    <xf numFmtId="178" fontId="49" fillId="14" borderId="56" xfId="0" applyNumberFormat="1" applyFont="1" applyFill="1" applyBorder="1" applyAlignment="1" applyProtection="1">
      <alignment horizontal="center"/>
      <protection locked="0"/>
    </xf>
    <xf numFmtId="0" fontId="124" fillId="14" borderId="0" xfId="0" applyFont="1" applyFill="1" applyProtection="1">
      <protection locked="0"/>
    </xf>
    <xf numFmtId="0" fontId="51" fillId="14" borderId="0" xfId="0" applyFont="1" applyFill="1" applyProtection="1">
      <protection locked="0"/>
    </xf>
    <xf numFmtId="0" fontId="88" fillId="15" borderId="15" xfId="0" applyFont="1" applyFill="1" applyBorder="1" applyAlignment="1">
      <alignment wrapText="1"/>
    </xf>
    <xf numFmtId="0" fontId="69" fillId="0" borderId="0" xfId="0" applyFont="1" applyAlignment="1">
      <alignment wrapText="1"/>
    </xf>
    <xf numFmtId="0" fontId="69" fillId="0" borderId="16" xfId="0" applyFont="1" applyBorder="1" applyAlignment="1">
      <alignment wrapText="1"/>
    </xf>
    <xf numFmtId="0" fontId="77" fillId="13" borderId="12" xfId="0" applyFont="1" applyFill="1" applyBorder="1" applyAlignment="1">
      <alignment horizontal="center"/>
    </xf>
    <xf numFmtId="0" fontId="77" fillId="13" borderId="13" xfId="0" applyFont="1" applyFill="1" applyBorder="1" applyAlignment="1">
      <alignment horizontal="center"/>
    </xf>
    <xf numFmtId="0" fontId="77" fillId="13" borderId="14" xfId="0" applyFont="1" applyFill="1" applyBorder="1" applyAlignment="1">
      <alignment horizontal="center"/>
    </xf>
    <xf numFmtId="0" fontId="80" fillId="19" borderId="12" xfId="0" applyFont="1" applyFill="1" applyBorder="1"/>
    <xf numFmtId="0" fontId="68" fillId="19" borderId="13" xfId="0" applyFont="1" applyFill="1" applyBorder="1"/>
    <xf numFmtId="0" fontId="68" fillId="19" borderId="14" xfId="0" applyFont="1" applyFill="1" applyBorder="1"/>
    <xf numFmtId="0" fontId="74" fillId="15" borderId="12" xfId="0" applyFont="1" applyFill="1" applyBorder="1" applyAlignment="1">
      <alignment horizontal="center" vertical="top"/>
    </xf>
    <xf numFmtId="0" fontId="74" fillId="15" borderId="13" xfId="0" applyFont="1" applyFill="1" applyBorder="1" applyAlignment="1">
      <alignment horizontal="center" vertical="top"/>
    </xf>
    <xf numFmtId="0" fontId="74" fillId="15" borderId="14" xfId="0" applyFont="1" applyFill="1" applyBorder="1" applyAlignment="1">
      <alignment horizontal="center" vertical="top"/>
    </xf>
    <xf numFmtId="0" fontId="75" fillId="15" borderId="15" xfId="0" applyFont="1" applyFill="1" applyBorder="1" applyAlignment="1">
      <alignment horizontal="center"/>
    </xf>
    <xf numFmtId="0" fontId="75" fillId="15" borderId="0" xfId="0" applyFont="1" applyFill="1" applyAlignment="1">
      <alignment horizontal="center"/>
    </xf>
    <xf numFmtId="0" fontId="2" fillId="7" borderId="41" xfId="0" applyFont="1" applyFill="1" applyBorder="1" applyAlignment="1" applyProtection="1">
      <alignment horizontal="center"/>
      <protection locked="0"/>
    </xf>
    <xf numFmtId="0" fontId="2" fillId="7" borderId="43" xfId="0" applyFont="1" applyFill="1" applyBorder="1" applyAlignment="1" applyProtection="1">
      <alignment horizontal="center"/>
      <protection locked="0"/>
    </xf>
    <xf numFmtId="0" fontId="82" fillId="18" borderId="41" xfId="0" applyFont="1" applyFill="1" applyBorder="1" applyAlignment="1">
      <alignment horizontal="center"/>
    </xf>
    <xf numFmtId="0" fontId="82" fillId="18" borderId="42" xfId="0" applyFont="1" applyFill="1" applyBorder="1" applyAlignment="1">
      <alignment horizontal="center"/>
    </xf>
    <xf numFmtId="0" fontId="82" fillId="18" borderId="43" xfId="0" applyFont="1" applyFill="1" applyBorder="1" applyAlignment="1">
      <alignment horizontal="center"/>
    </xf>
    <xf numFmtId="0" fontId="84" fillId="18" borderId="0" xfId="0" applyFont="1" applyFill="1" applyAlignment="1">
      <alignment horizontal="center"/>
    </xf>
    <xf numFmtId="0" fontId="84" fillId="18" borderId="16" xfId="0" applyFont="1" applyFill="1" applyBorder="1" applyAlignment="1">
      <alignment horizontal="center"/>
    </xf>
    <xf numFmtId="0" fontId="93" fillId="0" borderId="17" xfId="0" applyFont="1" applyBorder="1"/>
    <xf numFmtId="0" fontId="73" fillId="0" borderId="38" xfId="0" applyFont="1" applyBorder="1"/>
    <xf numFmtId="0" fontId="73" fillId="0" borderId="20" xfId="0" applyFont="1" applyBorder="1"/>
    <xf numFmtId="0" fontId="77" fillId="13" borderId="12" xfId="0" applyFont="1" applyFill="1" applyBorder="1"/>
    <xf numFmtId="0" fontId="65" fillId="13" borderId="13" xfId="0" applyFont="1" applyFill="1" applyBorder="1"/>
    <xf numFmtId="0" fontId="65" fillId="13" borderId="14" xfId="0" applyFont="1" applyFill="1" applyBorder="1"/>
    <xf numFmtId="0" fontId="77" fillId="13" borderId="15" xfId="0" applyFont="1" applyFill="1" applyBorder="1"/>
    <xf numFmtId="0" fontId="65" fillId="13" borderId="0" xfId="0" applyFont="1" applyFill="1"/>
    <xf numFmtId="0" fontId="65" fillId="13" borderId="16" xfId="0" applyFont="1" applyFill="1" applyBorder="1"/>
    <xf numFmtId="0" fontId="77" fillId="19" borderId="41" xfId="0" applyFont="1" applyFill="1" applyBorder="1"/>
    <xf numFmtId="0" fontId="65" fillId="19" borderId="42" xfId="0" applyFont="1" applyFill="1" applyBorder="1"/>
    <xf numFmtId="0" fontId="65" fillId="19" borderId="43" xfId="0" applyFont="1" applyFill="1" applyBorder="1"/>
    <xf numFmtId="0" fontId="93" fillId="0" borderId="44" xfId="0" applyFont="1" applyBorder="1"/>
    <xf numFmtId="0" fontId="73" fillId="0" borderId="9" xfId="0" applyFont="1" applyBorder="1"/>
    <xf numFmtId="0" fontId="73" fillId="0" borderId="45" xfId="0" applyFont="1" applyBorder="1"/>
    <xf numFmtId="0" fontId="97" fillId="5" borderId="15" xfId="0" applyFont="1" applyFill="1" applyBorder="1" applyAlignment="1">
      <alignment horizontal="center" vertical="top" wrapText="1"/>
    </xf>
    <xf numFmtId="0" fontId="97" fillId="5" borderId="0" xfId="0" applyFont="1" applyFill="1" applyAlignment="1">
      <alignment horizontal="center" vertical="top" wrapText="1"/>
    </xf>
    <xf numFmtId="0" fontId="97" fillId="5" borderId="16" xfId="0" applyFont="1" applyFill="1" applyBorder="1" applyAlignment="1">
      <alignment horizontal="center" vertical="top" wrapText="1"/>
    </xf>
    <xf numFmtId="0" fontId="98" fillId="5" borderId="15" xfId="0" applyFont="1" applyFill="1" applyBorder="1" applyAlignment="1">
      <alignment horizontal="center" vertical="top" wrapText="1"/>
    </xf>
    <xf numFmtId="0" fontId="98" fillId="5" borderId="0" xfId="0" applyFont="1" applyFill="1" applyAlignment="1">
      <alignment horizontal="center" vertical="top" wrapText="1"/>
    </xf>
    <xf numFmtId="0" fontId="98" fillId="5" borderId="16" xfId="0" applyFont="1" applyFill="1" applyBorder="1" applyAlignment="1">
      <alignment horizontal="center" vertical="top" wrapText="1"/>
    </xf>
    <xf numFmtId="0" fontId="15" fillId="0" borderId="1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6" xfId="0" applyFont="1" applyBorder="1" applyAlignment="1">
      <alignment horizontal="center"/>
    </xf>
    <xf numFmtId="0" fontId="94" fillId="13" borderId="12" xfId="0" applyFont="1" applyFill="1" applyBorder="1" applyAlignment="1">
      <alignment horizontal="center" vertical="center"/>
    </xf>
    <xf numFmtId="0" fontId="94" fillId="13" borderId="13" xfId="0" applyFont="1" applyFill="1" applyBorder="1" applyAlignment="1">
      <alignment horizontal="center" vertical="center"/>
    </xf>
    <xf numFmtId="0" fontId="94" fillId="13" borderId="14" xfId="0" applyFont="1" applyFill="1" applyBorder="1" applyAlignment="1">
      <alignment horizontal="center" vertical="center"/>
    </xf>
    <xf numFmtId="0" fontId="96" fillId="12" borderId="15" xfId="0" applyFont="1" applyFill="1" applyBorder="1" applyAlignment="1">
      <alignment horizontal="center" vertical="center"/>
    </xf>
    <xf numFmtId="0" fontId="96" fillId="12" borderId="0" xfId="0" applyFont="1" applyFill="1" applyAlignment="1">
      <alignment horizontal="center" vertical="center"/>
    </xf>
    <xf numFmtId="0" fontId="96" fillId="12" borderId="16" xfId="0" applyFont="1" applyFill="1" applyBorder="1" applyAlignment="1">
      <alignment horizontal="center" vertical="center"/>
    </xf>
    <xf numFmtId="0" fontId="90" fillId="5" borderId="15" xfId="0" applyFont="1" applyFill="1" applyBorder="1" applyAlignment="1">
      <alignment horizontal="center" vertical="top" wrapText="1"/>
    </xf>
    <xf numFmtId="0" fontId="90" fillId="5" borderId="0" xfId="0" applyFont="1" applyFill="1" applyAlignment="1">
      <alignment horizontal="center" vertical="top" wrapText="1"/>
    </xf>
    <xf numFmtId="0" fontId="90" fillId="5" borderId="1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08" fillId="19" borderId="0" xfId="0" applyFont="1" applyFill="1" applyAlignment="1">
      <alignment horizontal="left" vertical="center" wrapText="1"/>
    </xf>
    <xf numFmtId="0" fontId="51" fillId="19" borderId="0" xfId="0" applyFont="1" applyFill="1" applyAlignment="1">
      <alignment horizontal="left" vertical="center" wrapText="1"/>
    </xf>
    <xf numFmtId="0" fontId="7" fillId="0" borderId="0" xfId="0" applyFont="1"/>
    <xf numFmtId="0" fontId="58" fillId="0" borderId="0" xfId="0" applyFont="1"/>
    <xf numFmtId="0" fontId="49" fillId="0" borderId="0" xfId="0" applyFont="1"/>
    <xf numFmtId="3" fontId="7" fillId="0" borderId="0" xfId="0" applyNumberFormat="1" applyFont="1"/>
    <xf numFmtId="0" fontId="116" fillId="15" borderId="0" xfId="0" applyFont="1" applyFill="1"/>
    <xf numFmtId="0" fontId="99" fillId="18" borderId="0" xfId="0" applyFont="1" applyFill="1" applyAlignment="1">
      <alignment horizontal="right"/>
    </xf>
    <xf numFmtId="0" fontId="61" fillId="0" borderId="0" xfId="0" applyFont="1"/>
    <xf numFmtId="0" fontId="125" fillId="0" borderId="0" xfId="0" applyFont="1"/>
    <xf numFmtId="0" fontId="126" fillId="0" borderId="0" xfId="0" applyFont="1"/>
    <xf numFmtId="0" fontId="125" fillId="15" borderId="0" xfId="0" applyFont="1" applyFill="1"/>
    <xf numFmtId="0" fontId="126" fillId="15" borderId="0" xfId="0" applyFont="1" applyFill="1"/>
    <xf numFmtId="0" fontId="128" fillId="0" borderId="0" xfId="0" applyFont="1"/>
    <xf numFmtId="168" fontId="76" fillId="0" borderId="0" xfId="0" applyNumberFormat="1" applyFont="1"/>
    <xf numFmtId="164" fontId="129" fillId="0" borderId="0" xfId="0" applyNumberFormat="1" applyFont="1"/>
    <xf numFmtId="3" fontId="2" fillId="20" borderId="1" xfId="0" applyNumberFormat="1" applyFont="1" applyFill="1" applyBorder="1" applyProtection="1">
      <protection locked="0"/>
    </xf>
    <xf numFmtId="168" fontId="2" fillId="20" borderId="1" xfId="0" applyNumberFormat="1" applyFont="1" applyFill="1" applyBorder="1" applyProtection="1">
      <protection locked="0"/>
    </xf>
    <xf numFmtId="164" fontId="2" fillId="20" borderId="1" xfId="0" applyNumberFormat="1" applyFont="1" applyFill="1" applyBorder="1" applyProtection="1">
      <protection locked="0"/>
    </xf>
    <xf numFmtId="0" fontId="2" fillId="20" borderId="1" xfId="0" applyFont="1" applyFill="1" applyBorder="1" applyProtection="1">
      <protection locked="0"/>
    </xf>
    <xf numFmtId="0" fontId="2" fillId="20" borderId="0" xfId="0" applyFont="1" applyFill="1" applyProtection="1">
      <protection locked="0"/>
    </xf>
    <xf numFmtId="9" fontId="2" fillId="20" borderId="1" xfId="0" applyNumberFormat="1" applyFont="1" applyFill="1" applyBorder="1" applyProtection="1">
      <protection locked="0"/>
    </xf>
    <xf numFmtId="9" fontId="2" fillId="20" borderId="0" xfId="0" applyNumberFormat="1" applyFont="1" applyFill="1" applyProtection="1">
      <protection locked="0"/>
    </xf>
    <xf numFmtId="0" fontId="127" fillId="0" borderId="0" xfId="0" applyFont="1" applyAlignment="1">
      <alignment horizontal="left" vertical="center" wrapText="1"/>
    </xf>
    <xf numFmtId="0" fontId="52" fillId="16" borderId="0" xfId="0" applyFont="1" applyFill="1" applyAlignment="1">
      <alignment horizontal="center" vertical="center" wrapText="1"/>
    </xf>
  </cellXfs>
  <cellStyles count="1">
    <cellStyle name="Normal" xfId="0" builtinId="0"/>
  </cellStyles>
  <dxfs count="10">
    <dxf>
      <fill>
        <patternFill patternType="solid">
          <fgColor indexed="64"/>
          <bgColor rgb="FFF5F5F5"/>
        </patternFill>
      </fill>
    </dxf>
    <dxf>
      <fill>
        <patternFill patternType="solid">
          <fgColor indexed="64"/>
          <bgColor rgb="FFF5F5F5"/>
        </patternFill>
      </fill>
    </dxf>
    <dxf>
      <fill>
        <patternFill patternType="solid">
          <fgColor indexed="64"/>
          <bgColor rgb="FFF5F5F5"/>
        </patternFill>
      </fill>
    </dxf>
    <dxf>
      <fill>
        <patternFill patternType="solid">
          <fgColor indexed="64"/>
          <bgColor rgb="FFFCE4EC"/>
        </patternFill>
      </fill>
    </dxf>
    <dxf>
      <fill>
        <patternFill patternType="solid">
          <fgColor indexed="64"/>
          <bgColor rgb="FFE2EFDA"/>
        </patternFill>
      </fill>
    </dxf>
    <dxf>
      <fill>
        <patternFill patternType="solid">
          <fgColor indexed="64"/>
          <bgColor rgb="FFF5F5F5"/>
        </patternFill>
      </fill>
    </dxf>
    <dxf>
      <fill>
        <patternFill patternType="solid">
          <fgColor indexed="64"/>
          <bgColor rgb="FFF5F5F5"/>
        </patternFill>
      </fill>
    </dxf>
    <dxf>
      <fill>
        <patternFill patternType="solid">
          <fgColor indexed="64"/>
          <bgColor rgb="FFF5F5F5"/>
        </patternFill>
      </fill>
    </dxf>
    <dxf>
      <fill>
        <patternFill patternType="solid">
          <fgColor indexed="64"/>
          <bgColor rgb="FFFCE4EC"/>
        </patternFill>
      </fill>
    </dxf>
    <dxf>
      <fill>
        <patternFill patternType="solid">
          <fgColor indexed="64"/>
          <bgColor rgb="FFE2EFD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4F2EF"/>
      <rgbColor rgb="FFE8F0E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8E8E8"/>
      <rgbColor rgb="FFF5F5F5"/>
      <rgbColor rgb="FFB3B3B3"/>
      <rgbColor rgb="FFFF99CC"/>
      <rgbColor rgb="FFCC99FF"/>
      <rgbColor rgb="FFC8A96E"/>
      <rgbColor rgb="FF3366FF"/>
      <rgbColor rgb="FF33CCCC"/>
      <rgbColor rgb="FF99CC00"/>
      <rgbColor rgb="FFFFCC00"/>
      <rgbColor rgb="FFFF9900"/>
      <rgbColor rgb="FFFF6600"/>
      <rgbColor rgb="FF666666"/>
      <rgbColor rgb="FFAFA9A0"/>
      <rgbColor rgb="FF002855"/>
      <rgbColor rgb="FF339966"/>
      <rgbColor rgb="FF003300"/>
      <rgbColor rgb="FF36573B"/>
      <rgbColor rgb="FFC0392B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000" b="1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Annual Rework Cost by Decision Rule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Dashboard!$B$36</c:f>
              <c:strCache>
                <c:ptCount val="1"/>
                <c:pt idx="0">
                  <c:v>Global (PFA≤2%)</c:v>
                </c:pt>
              </c:strCache>
            </c:strRef>
          </c:tx>
          <c:spPr>
            <a:solidFill>
              <a:srgbClr val="36573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Dashboard!$A$37:$A$43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 1</c:v>
                </c:pt>
                <c:pt idx="6">
                  <c:v>Competitor 2</c:v>
                </c:pt>
              </c:strCache>
            </c:strRef>
          </c:cat>
          <c:val>
            <c:numRef>
              <c:f>Dashboard!$B$37:$B$43</c:f>
              <c:numCache>
                <c:formatCode>\$#,##0</c:formatCode>
                <c:ptCount val="7"/>
                <c:pt idx="0">
                  <c:v>3718.7429508737232</c:v>
                </c:pt>
                <c:pt idx="1">
                  <c:v>1786.3810988273713</c:v>
                </c:pt>
                <c:pt idx="2">
                  <c:v>1590.4789810422815</c:v>
                </c:pt>
                <c:pt idx="3">
                  <c:v>994.28431780426058</c:v>
                </c:pt>
                <c:pt idx="4">
                  <c:v>277.53030738569646</c:v>
                </c:pt>
                <c:pt idx="5">
                  <c:v>3718.7429508737232</c:v>
                </c:pt>
                <c:pt idx="6">
                  <c:v>3632.0294509074747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3-48FC-974A-784A447C54D4}"/>
            </c:ext>
          </c:extLst>
        </c:ser>
        <c:ser>
          <c:idx val="1"/>
          <c:order val="1"/>
          <c:tx>
            <c:strRef>
              <c:f>Dashboard!$C$36</c:f>
              <c:strCache>
                <c:ptCount val="1"/>
                <c:pt idx="0">
                  <c:v>Method 6</c:v>
                </c:pt>
              </c:strCache>
            </c:strRef>
          </c:tx>
          <c:spPr>
            <a:solidFill>
              <a:srgbClr val="00285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Dashboard!$A$37:$A$43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 1</c:v>
                </c:pt>
                <c:pt idx="6">
                  <c:v>Competitor 2</c:v>
                </c:pt>
              </c:strCache>
            </c:strRef>
          </c:cat>
          <c:val>
            <c:numRef>
              <c:f>Dashboard!$C$37:$C$43</c:f>
              <c:numCache>
                <c:formatCode>\$#,##0</c:formatCode>
                <c:ptCount val="7"/>
                <c:pt idx="0">
                  <c:v>6066.4960598980952</c:v>
                </c:pt>
                <c:pt idx="1">
                  <c:v>2608.5203930278913</c:v>
                </c:pt>
                <c:pt idx="2">
                  <c:v>2143.8717077453948</c:v>
                </c:pt>
                <c:pt idx="3">
                  <c:v>994.28431780426058</c:v>
                </c:pt>
                <c:pt idx="4">
                  <c:v>277.53030738569646</c:v>
                </c:pt>
                <c:pt idx="5">
                  <c:v>6066.4960598980952</c:v>
                </c:pt>
                <c:pt idx="6">
                  <c:v>8613.9616266611283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53-48FC-974A-784A447C54D4}"/>
            </c:ext>
          </c:extLst>
        </c:ser>
        <c:ser>
          <c:idx val="2"/>
          <c:order val="2"/>
          <c:tx>
            <c:strRef>
              <c:f>Dashboard!$D$36</c:f>
              <c:strCache>
                <c:ptCount val="1"/>
                <c:pt idx="0">
                  <c:v>Specific Risk</c:v>
                </c:pt>
              </c:strCache>
            </c:strRef>
          </c:tx>
          <c:spPr>
            <a:solidFill>
              <a:srgbClr val="C8A96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Dashboard!$A$37:$A$43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 1</c:v>
                </c:pt>
                <c:pt idx="6">
                  <c:v>Competitor 2</c:v>
                </c:pt>
              </c:strCache>
            </c:strRef>
          </c:cat>
          <c:val>
            <c:numRef>
              <c:f>Dashboard!$D$37:$D$43</c:f>
              <c:numCache>
                <c:formatCode>\$#,##0</c:formatCode>
                <c:ptCount val="7"/>
                <c:pt idx="0">
                  <c:v>19822.357488144629</c:v>
                </c:pt>
                <c:pt idx="1">
                  <c:v>10865.255217125377</c:v>
                </c:pt>
                <c:pt idx="2">
                  <c:v>9509.2584042285671</c:v>
                </c:pt>
                <c:pt idx="3">
                  <c:v>5533.1424996735141</c:v>
                </c:pt>
                <c:pt idx="4">
                  <c:v>531.08111858428208</c:v>
                </c:pt>
                <c:pt idx="5">
                  <c:v>19822.357488144629</c:v>
                </c:pt>
                <c:pt idx="6">
                  <c:v>25856.904394803609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53-48FC-974A-784A447C54D4}"/>
            </c:ext>
          </c:extLst>
        </c:ser>
        <c:ser>
          <c:idx val="3"/>
          <c:order val="3"/>
          <c:tx>
            <c:strRef>
              <c:f>Dashboard!$H$36</c:f>
              <c:strCache>
                <c:ptCount val="1"/>
                <c:pt idx="0">
                  <c:v>Simple Accept</c:v>
                </c:pt>
              </c:strCache>
            </c:strRef>
          </c:tx>
          <c:spPr>
            <a:solidFill>
              <a:srgbClr val="AFA9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Dashboard!$A$37:$A$43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 1</c:v>
                </c:pt>
                <c:pt idx="6">
                  <c:v>Competitor 2</c:v>
                </c:pt>
              </c:strCache>
            </c:strRef>
          </c:cat>
          <c:val>
            <c:numRef>
              <c:f>Dashboard!$H$37:$H$43</c:f>
              <c:numCache>
                <c:formatCode>\$#,##0</c:formatCode>
                <c:ptCount val="7"/>
                <c:pt idx="0">
                  <c:v>3044.099265312449</c:v>
                </c:pt>
                <c:pt idx="1">
                  <c:v>1786.3810988273713</c:v>
                </c:pt>
                <c:pt idx="2">
                  <c:v>1590.4789810422815</c:v>
                </c:pt>
                <c:pt idx="3">
                  <c:v>994.28431780426058</c:v>
                </c:pt>
                <c:pt idx="4">
                  <c:v>277.53030738569646</c:v>
                </c:pt>
                <c:pt idx="5">
                  <c:v>3044.099265312449</c:v>
                </c:pt>
                <c:pt idx="6">
                  <c:v>3632.0294509074747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53-48FC-974A-784A447C5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71492"/>
        <c:axId val="35563531"/>
      </c:barChart>
      <c:catAx>
        <c:axId val="616714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800" b="0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563531"/>
        <c:crosses val="autoZero"/>
        <c:auto val="1"/>
        <c:lblAlgn val="ctr"/>
        <c:lblOffset val="100"/>
        <c:noMultiLvlLbl val="0"/>
      </c:catAx>
      <c:valAx>
        <c:axId val="3556353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\$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800" b="0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671492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1"/>
          <c:y val="0"/>
        </c:manualLayout>
      </c:layout>
      <c:overlay val="1"/>
      <c:spPr>
        <a:noFill/>
        <a:ln w="0">
          <a:noFill/>
        </a:ln>
      </c:spPr>
      <c:txPr>
        <a:bodyPr/>
        <a:lstStyle/>
        <a:p>
          <a:pPr>
            <a:defRPr sz="800" b="0" strike="noStrike" spc="-1">
              <a:solidFill>
                <a:srgbClr val="36573B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Total Annual Cost by Machine and Decision Rule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'Range Analysis'!$B$33</c:f>
              <c:strCache>
                <c:ptCount val="1"/>
                <c:pt idx="0">
                  <c:v>Global</c:v>
                </c:pt>
              </c:strCache>
            </c:strRef>
          </c:tx>
          <c:spPr>
            <a:solidFill>
              <a:srgbClr val="36573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'Range Analysis'!$A$34:$A$40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'Range Analysis'!$B$34:$B$40</c:f>
              <c:numCache>
                <c:formatCode>\$#,##0</c:formatCode>
                <c:ptCount val="7"/>
                <c:pt idx="0">
                  <c:v>5897.9484724655886</c:v>
                </c:pt>
                <c:pt idx="1">
                  <c:v>3786.3810988273713</c:v>
                </c:pt>
                <c:pt idx="2">
                  <c:v>3590.4789810422817</c:v>
                </c:pt>
                <c:pt idx="3">
                  <c:v>3281.4249915707787</c:v>
                </c:pt>
                <c:pt idx="4">
                  <c:v>277.53030738569646</c:v>
                </c:pt>
                <c:pt idx="5">
                  <c:v>12298.648091027624</c:v>
                </c:pt>
                <c:pt idx="6">
                  <c:v>15797.09040066138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8-4394-A2C2-9B53FC62E95F}"/>
            </c:ext>
          </c:extLst>
        </c:ser>
        <c:ser>
          <c:idx val="1"/>
          <c:order val="1"/>
          <c:tx>
            <c:strRef>
              <c:f>'Range Analysis'!$D$33</c:f>
              <c:strCache>
                <c:ptCount val="1"/>
                <c:pt idx="0">
                  <c:v>Method 6</c:v>
                </c:pt>
              </c:strCache>
            </c:strRef>
          </c:tx>
          <c:spPr>
            <a:solidFill>
              <a:srgbClr val="00285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'Range Analysis'!$A$34:$A$40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'Range Analysis'!$D$34:$D$40</c:f>
              <c:numCache>
                <c:formatCode>\$#,##0</c:formatCode>
                <c:ptCount val="7"/>
                <c:pt idx="0">
                  <c:v>10748.561702652902</c:v>
                </c:pt>
                <c:pt idx="1">
                  <c:v>4608.5203930278913</c:v>
                </c:pt>
                <c:pt idx="2">
                  <c:v>4143.8717077453948</c:v>
                </c:pt>
                <c:pt idx="3">
                  <c:v>3466.1247892315041</c:v>
                </c:pt>
                <c:pt idx="4">
                  <c:v>277.53030738569646</c:v>
                </c:pt>
                <c:pt idx="5">
                  <c:v>33510.476696706282</c:v>
                </c:pt>
                <c:pt idx="6">
                  <c:v>45296.493929772041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E8-4394-A2C2-9B53FC62E95F}"/>
            </c:ext>
          </c:extLst>
        </c:ser>
        <c:ser>
          <c:idx val="2"/>
          <c:order val="2"/>
          <c:tx>
            <c:strRef>
              <c:f>'Range Analysis'!$E$33</c:f>
              <c:strCache>
                <c:ptCount val="1"/>
                <c:pt idx="0">
                  <c:v>Specific Risk</c:v>
                </c:pt>
              </c:strCache>
            </c:strRef>
          </c:tx>
          <c:spPr>
            <a:solidFill>
              <a:srgbClr val="C8A96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'Range Analysis'!$A$34:$A$40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'Range Analysis'!$E$34:$E$40</c:f>
              <c:numCache>
                <c:formatCode>\$#,##0</c:formatCode>
                <c:ptCount val="7"/>
                <c:pt idx="0">
                  <c:v>27870.198556857162</c:v>
                </c:pt>
                <c:pt idx="1">
                  <c:v>12865.255217125372</c:v>
                </c:pt>
                <c:pt idx="2">
                  <c:v>11509.258404228567</c:v>
                </c:pt>
                <c:pt idx="3">
                  <c:v>9415.6611749970652</c:v>
                </c:pt>
                <c:pt idx="4">
                  <c:v>531.08111858428208</c:v>
                </c:pt>
                <c:pt idx="5">
                  <c:v>53916.666666666672</c:v>
                </c:pt>
                <c:pt idx="6">
                  <c:v>53916.666666666672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E8-4394-A2C2-9B53FC62E95F}"/>
            </c:ext>
          </c:extLst>
        </c:ser>
        <c:ser>
          <c:idx val="3"/>
          <c:order val="3"/>
          <c:tx>
            <c:strRef>
              <c:f>'Range Analysis'!$F$33</c:f>
              <c:strCache>
                <c:ptCount val="1"/>
                <c:pt idx="0">
                  <c:v>Simple Accept</c:v>
                </c:pt>
              </c:strCache>
            </c:strRef>
          </c:tx>
          <c:spPr>
            <a:solidFill>
              <a:srgbClr val="AFA9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'Range Analysis'!$A$34:$A$40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'Range Analysis'!$F$34:$F$40</c:f>
              <c:numCache>
                <c:formatCode>\$#,##0</c:formatCode>
                <c:ptCount val="7"/>
                <c:pt idx="0">
                  <c:v>5044.0992653124486</c:v>
                </c:pt>
                <c:pt idx="1">
                  <c:v>3786.3810988273713</c:v>
                </c:pt>
                <c:pt idx="2">
                  <c:v>3590.4789810422817</c:v>
                </c:pt>
                <c:pt idx="3">
                  <c:v>2994.2843178042604</c:v>
                </c:pt>
                <c:pt idx="4">
                  <c:v>277.53030738569646</c:v>
                </c:pt>
                <c:pt idx="5">
                  <c:v>5044.0992653124486</c:v>
                </c:pt>
                <c:pt idx="6">
                  <c:v>5632.0294509074747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E8-4394-A2C2-9B53FC62E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2738"/>
        <c:axId val="51908756"/>
      </c:barChart>
      <c:catAx>
        <c:axId val="6330273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1908756"/>
        <c:crosses val="autoZero"/>
        <c:auto val="1"/>
        <c:lblAlgn val="ctr"/>
        <c:lblOffset val="100"/>
        <c:noMultiLvlLbl val="0"/>
      </c:catAx>
      <c:valAx>
        <c:axId val="5190875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\$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3302738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83649390856026595"/>
          <c:y val="1.09850069791555E-2"/>
          <c:w val="0.15827743423121299"/>
          <c:h val="0.176670915788461"/>
        </c:manualLayout>
      </c:layout>
      <c:overlay val="1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Annual Cost vs. CMC at Low Force Point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'Range Analysis'!$K$54</c:f>
              <c:strCache>
                <c:ptCount val="1"/>
                <c:pt idx="0">
                  <c:v>Total
Global*</c:v>
                </c:pt>
              </c:strCache>
            </c:strRef>
          </c:tx>
          <c:spPr>
            <a:ln w="24840">
              <a:solidFill>
                <a:srgbClr val="36573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'Range Analysis'!$A$55:$A$68</c:f>
              <c:numCache>
                <c:formatCode>0.0000%</c:formatCode>
                <c:ptCount val="14"/>
                <c:pt idx="0">
                  <c:v>1E-3</c:v>
                </c:pt>
                <c:pt idx="1">
                  <c:v>8.0000000000000004E-4</c:v>
                </c:pt>
                <c:pt idx="2">
                  <c:v>5.9999999999999995E-4</c:v>
                </c:pt>
                <c:pt idx="3">
                  <c:v>5.0000000000000001E-4</c:v>
                </c:pt>
                <c:pt idx="4">
                  <c:v>4.0000000000000002E-4</c:v>
                </c:pt>
                <c:pt idx="5">
                  <c:v>3.5E-4</c:v>
                </c:pt>
                <c:pt idx="6">
                  <c:v>2.9999999999999997E-4</c:v>
                </c:pt>
                <c:pt idx="7">
                  <c:v>2.5000000000000001E-4</c:v>
                </c:pt>
                <c:pt idx="8">
                  <c:v>2.0000000000000001E-4</c:v>
                </c:pt>
                <c:pt idx="9">
                  <c:v>1.4999999999999999E-4</c:v>
                </c:pt>
                <c:pt idx="10">
                  <c:v>1E-4</c:v>
                </c:pt>
                <c:pt idx="11">
                  <c:v>5.0000000000000002E-5</c:v>
                </c:pt>
                <c:pt idx="12">
                  <c:v>3.0000000000000001E-5</c:v>
                </c:pt>
                <c:pt idx="13">
                  <c:v>2.0000000000000002E-5</c:v>
                </c:pt>
              </c:numCache>
            </c:numRef>
          </c:cat>
          <c:val>
            <c:numRef>
              <c:f>'Range Analysis'!$K$55:$K$68</c:f>
              <c:numCache>
                <c:formatCode>\$#,##0</c:formatCode>
                <c:ptCount val="14"/>
                <c:pt idx="0">
                  <c:v>9979.6115420122496</c:v>
                </c:pt>
                <c:pt idx="1">
                  <c:v>7811.8305384048563</c:v>
                </c:pt>
                <c:pt idx="2">
                  <c:v>5876.084845028131</c:v>
                </c:pt>
                <c:pt idx="3">
                  <c:v>5019.9997956571551</c:v>
                </c:pt>
                <c:pt idx="4">
                  <c:v>4246.5386928938424</c:v>
                </c:pt>
                <c:pt idx="5">
                  <c:v>3891.4798374625816</c:v>
                </c:pt>
                <c:pt idx="6">
                  <c:v>3557.4008335024464</c:v>
                </c:pt>
                <c:pt idx="7">
                  <c:v>3243.8287348263207</c:v>
                </c:pt>
                <c:pt idx="8">
                  <c:v>2949.8618948191911</c:v>
                </c:pt>
                <c:pt idx="9">
                  <c:v>2673.7477611748591</c:v>
                </c:pt>
                <c:pt idx="10">
                  <c:v>2410.7959170654217</c:v>
                </c:pt>
                <c:pt idx="11">
                  <c:v>2127.3824487725892</c:v>
                </c:pt>
                <c:pt idx="12">
                  <c:v>2009.9352634048487</c:v>
                </c:pt>
                <c:pt idx="13">
                  <c:v>2000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808-471B-A0CE-B66387C0BF6A}"/>
            </c:ext>
          </c:extLst>
        </c:ser>
        <c:ser>
          <c:idx val="1"/>
          <c:order val="1"/>
          <c:tx>
            <c:strRef>
              <c:f>'Range Analysis'!$L$54</c:f>
              <c:strCache>
                <c:ptCount val="1"/>
                <c:pt idx="0">
                  <c:v>Total
M6*</c:v>
                </c:pt>
              </c:strCache>
            </c:strRef>
          </c:tx>
          <c:spPr>
            <a:ln w="24840">
              <a:solidFill>
                <a:srgbClr val="00285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'Range Analysis'!$A$55:$A$68</c:f>
              <c:numCache>
                <c:formatCode>0.0000%</c:formatCode>
                <c:ptCount val="14"/>
                <c:pt idx="0">
                  <c:v>1E-3</c:v>
                </c:pt>
                <c:pt idx="1">
                  <c:v>8.0000000000000004E-4</c:v>
                </c:pt>
                <c:pt idx="2">
                  <c:v>5.9999999999999995E-4</c:v>
                </c:pt>
                <c:pt idx="3">
                  <c:v>5.0000000000000001E-4</c:v>
                </c:pt>
                <c:pt idx="4">
                  <c:v>4.0000000000000002E-4</c:v>
                </c:pt>
                <c:pt idx="5">
                  <c:v>3.5E-4</c:v>
                </c:pt>
                <c:pt idx="6">
                  <c:v>2.9999999999999997E-4</c:v>
                </c:pt>
                <c:pt idx="7">
                  <c:v>2.5000000000000001E-4</c:v>
                </c:pt>
                <c:pt idx="8">
                  <c:v>2.0000000000000001E-4</c:v>
                </c:pt>
                <c:pt idx="9">
                  <c:v>1.4999999999999999E-4</c:v>
                </c:pt>
                <c:pt idx="10">
                  <c:v>1E-4</c:v>
                </c:pt>
                <c:pt idx="11">
                  <c:v>5.0000000000000002E-5</c:v>
                </c:pt>
                <c:pt idx="12">
                  <c:v>3.0000000000000001E-5</c:v>
                </c:pt>
                <c:pt idx="13">
                  <c:v>2.0000000000000002E-5</c:v>
                </c:pt>
              </c:numCache>
            </c:numRef>
          </c:cat>
          <c:val>
            <c:numRef>
              <c:f>'Range Analysis'!$L$55:$L$68</c:f>
              <c:numCache>
                <c:formatCode>\$#,##0</c:formatCode>
                <c:ptCount val="14"/>
                <c:pt idx="0">
                  <c:v>25220.90887601272</c:v>
                </c:pt>
                <c:pt idx="1">
                  <c:v>17378.006300854948</c:v>
                </c:pt>
                <c:pt idx="2">
                  <c:v>10734.215335220619</c:v>
                </c:pt>
                <c:pt idx="3">
                  <c:v>8048.9533477020732</c:v>
                </c:pt>
                <c:pt idx="4">
                  <c:v>5839.8324736287359</c:v>
                </c:pt>
                <c:pt idx="5">
                  <c:v>4916.6008716098186</c:v>
                </c:pt>
                <c:pt idx="6">
                  <c:v>4113.4651732205793</c:v>
                </c:pt>
                <c:pt idx="7">
                  <c:v>3429.6027171152782</c:v>
                </c:pt>
                <c:pt idx="8">
                  <c:v>2949.8618948191911</c:v>
                </c:pt>
                <c:pt idx="9">
                  <c:v>2673.7477611748591</c:v>
                </c:pt>
                <c:pt idx="10">
                  <c:v>2410.7959170654217</c:v>
                </c:pt>
                <c:pt idx="11">
                  <c:v>2127.3824487725892</c:v>
                </c:pt>
                <c:pt idx="12">
                  <c:v>2009.9352634048487</c:v>
                </c:pt>
                <c:pt idx="13">
                  <c:v>2000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808-471B-A0CE-B66387C0BF6A}"/>
            </c:ext>
          </c:extLst>
        </c:ser>
        <c:ser>
          <c:idx val="2"/>
          <c:order val="2"/>
          <c:tx>
            <c:strRef>
              <c:f>'Range Analysis'!$M$54</c:f>
              <c:strCache>
                <c:ptCount val="1"/>
                <c:pt idx="0">
                  <c:v>Total
Specific*</c:v>
                </c:pt>
              </c:strCache>
            </c:strRef>
          </c:tx>
          <c:spPr>
            <a:ln w="24840">
              <a:solidFill>
                <a:srgbClr val="C8A96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'Range Analysis'!$A$55:$A$68</c:f>
              <c:numCache>
                <c:formatCode>0.0000%</c:formatCode>
                <c:ptCount val="14"/>
                <c:pt idx="0">
                  <c:v>1E-3</c:v>
                </c:pt>
                <c:pt idx="1">
                  <c:v>8.0000000000000004E-4</c:v>
                </c:pt>
                <c:pt idx="2">
                  <c:v>5.9999999999999995E-4</c:v>
                </c:pt>
                <c:pt idx="3">
                  <c:v>5.0000000000000001E-4</c:v>
                </c:pt>
                <c:pt idx="4">
                  <c:v>4.0000000000000002E-4</c:v>
                </c:pt>
                <c:pt idx="5">
                  <c:v>3.5E-4</c:v>
                </c:pt>
                <c:pt idx="6">
                  <c:v>2.9999999999999997E-4</c:v>
                </c:pt>
                <c:pt idx="7">
                  <c:v>2.5000000000000001E-4</c:v>
                </c:pt>
                <c:pt idx="8">
                  <c:v>2.0000000000000001E-4</c:v>
                </c:pt>
                <c:pt idx="9">
                  <c:v>1.4999999999999999E-4</c:v>
                </c:pt>
                <c:pt idx="10">
                  <c:v>1E-4</c:v>
                </c:pt>
                <c:pt idx="11">
                  <c:v>5.0000000000000002E-5</c:v>
                </c:pt>
                <c:pt idx="12">
                  <c:v>3.0000000000000001E-5</c:v>
                </c:pt>
                <c:pt idx="13">
                  <c:v>2.0000000000000002E-5</c:v>
                </c:pt>
              </c:numCache>
            </c:numRef>
          </c:cat>
          <c:val>
            <c:numRef>
              <c:f>'Range Analysis'!$M$55:$M$68</c:f>
              <c:numCache>
                <c:formatCode>\$#,##0</c:formatCode>
                <c:ptCount val="14"/>
                <c:pt idx="0">
                  <c:v>52766.640630103786</c:v>
                </c:pt>
                <c:pt idx="1">
                  <c:v>40621.131413670002</c:v>
                </c:pt>
                <c:pt idx="2">
                  <c:v>27868.04214905743</c:v>
                </c:pt>
                <c:pt idx="3">
                  <c:v>21819.880562833729</c:v>
                </c:pt>
                <c:pt idx="4">
                  <c:v>16304.072251735606</c:v>
                </c:pt>
                <c:pt idx="5">
                  <c:v>13806.483629871513</c:v>
                </c:pt>
                <c:pt idx="6">
                  <c:v>11505.520070828157</c:v>
                </c:pt>
                <c:pt idx="7">
                  <c:v>9411.3070418873758</c:v>
                </c:pt>
                <c:pt idx="8">
                  <c:v>7527.8881985444359</c:v>
                </c:pt>
                <c:pt idx="9">
                  <c:v>5853.4381593723574</c:v>
                </c:pt>
                <c:pt idx="10">
                  <c:v>4380.9001428240499</c:v>
                </c:pt>
                <c:pt idx="11">
                  <c:v>3131.0666840616323</c:v>
                </c:pt>
                <c:pt idx="12">
                  <c:v>2586.4530938778785</c:v>
                </c:pt>
                <c:pt idx="13">
                  <c:v>2117.7237991646098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808-471B-A0CE-B66387C0B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60482032"/>
        <c:axId val="93863445"/>
      </c:lineChart>
      <c:catAx>
        <c:axId val="6048203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CMC (%)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0%" sourceLinked="0"/>
        <c:majorTickMark val="none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3863445"/>
        <c:crosses val="autoZero"/>
        <c:auto val="1"/>
        <c:lblAlgn val="ctr"/>
        <c:lblOffset val="100"/>
        <c:noMultiLvlLbl val="0"/>
      </c:catAx>
      <c:valAx>
        <c:axId val="9386344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\$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0482032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1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Annual Savings vs BCM by CMC Level (Method 6)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'Range Analysis'!$N$54</c:f>
              <c:strCache>
                <c:ptCount val="1"/>
                <c:pt idx="0">
                  <c:v>Savings vs
BCM (M6)</c:v>
                </c:pt>
              </c:strCache>
            </c:strRef>
          </c:tx>
          <c:spPr>
            <a:solidFill>
              <a:srgbClr val="002855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'Range Analysis'!$A$55:$A$68</c:f>
              <c:numCache>
                <c:formatCode>0.0000%</c:formatCode>
                <c:ptCount val="14"/>
                <c:pt idx="0">
                  <c:v>1E-3</c:v>
                </c:pt>
                <c:pt idx="1">
                  <c:v>8.0000000000000004E-4</c:v>
                </c:pt>
                <c:pt idx="2">
                  <c:v>5.9999999999999995E-4</c:v>
                </c:pt>
                <c:pt idx="3">
                  <c:v>5.0000000000000001E-4</c:v>
                </c:pt>
                <c:pt idx="4">
                  <c:v>4.0000000000000002E-4</c:v>
                </c:pt>
                <c:pt idx="5">
                  <c:v>3.5E-4</c:v>
                </c:pt>
                <c:pt idx="6">
                  <c:v>2.9999999999999997E-4</c:v>
                </c:pt>
                <c:pt idx="7">
                  <c:v>2.5000000000000001E-4</c:v>
                </c:pt>
                <c:pt idx="8">
                  <c:v>2.0000000000000001E-4</c:v>
                </c:pt>
                <c:pt idx="9">
                  <c:v>1.4999999999999999E-4</c:v>
                </c:pt>
                <c:pt idx="10">
                  <c:v>1E-4</c:v>
                </c:pt>
                <c:pt idx="11">
                  <c:v>5.0000000000000002E-5</c:v>
                </c:pt>
                <c:pt idx="12">
                  <c:v>3.0000000000000001E-5</c:v>
                </c:pt>
                <c:pt idx="13">
                  <c:v>2.0000000000000002E-5</c:v>
                </c:pt>
              </c:numCache>
            </c:numRef>
          </c:cat>
          <c:val>
            <c:numRef>
              <c:f>'Range Analysis'!$N$55:$N$68</c:f>
              <c:numCache>
                <c:formatCode>\$#,##0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923.23160201891733</c:v>
                </c:pt>
                <c:pt idx="6">
                  <c:v>1726.3673004081566</c:v>
                </c:pt>
                <c:pt idx="7">
                  <c:v>2410.2297565134577</c:v>
                </c:pt>
                <c:pt idx="8">
                  <c:v>2889.9705788095448</c:v>
                </c:pt>
                <c:pt idx="9">
                  <c:v>3166.0847124538768</c:v>
                </c:pt>
                <c:pt idx="10">
                  <c:v>3429.0365565633142</c:v>
                </c:pt>
                <c:pt idx="11">
                  <c:v>3712.4500248561467</c:v>
                </c:pt>
                <c:pt idx="12">
                  <c:v>3829.8972102238872</c:v>
                </c:pt>
                <c:pt idx="13">
                  <c:v>3839.8324736287359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7E-4E50-B6BE-D0FBFD904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56631"/>
        <c:axId val="8169151"/>
      </c:barChart>
      <c:catAx>
        <c:axId val="2525663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CMC (%)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0%" sourceLinked="0"/>
        <c:majorTickMark val="none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169151"/>
        <c:crosses val="autoZero"/>
        <c:auto val="1"/>
        <c:lblAlgn val="ctr"/>
        <c:lblOffset val="100"/>
        <c:noMultiLvlLbl val="0"/>
      </c:catAx>
      <c:valAx>
        <c:axId val="816915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\$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5256631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1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Annual Profit by Machine — No Bar = Not Profitable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Breakeven!$B$51</c:f>
              <c:strCache>
                <c:ptCount val="1"/>
                <c:pt idx="0">
                  <c:v>Profit (Global)</c:v>
                </c:pt>
              </c:strCache>
            </c:strRef>
          </c:tx>
          <c:spPr>
            <a:solidFill>
              <a:srgbClr val="36573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Breakeven!$A$52:$A$58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Breakeven!$B$52:$B$58</c:f>
              <c:numCache>
                <c:formatCode>\$#,##0</c:formatCode>
                <c:ptCount val="7"/>
                <c:pt idx="0">
                  <c:v>54102.051527534408</c:v>
                </c:pt>
                <c:pt idx="1">
                  <c:v>56213.618901172624</c:v>
                </c:pt>
                <c:pt idx="2">
                  <c:v>46409.521018957719</c:v>
                </c:pt>
                <c:pt idx="3">
                  <c:v>56718.575008429209</c:v>
                </c:pt>
                <c:pt idx="4">
                  <c:v>29722.469692614308</c:v>
                </c:pt>
                <c:pt idx="5">
                  <c:v>37701.35190897237</c:v>
                </c:pt>
                <c:pt idx="6">
                  <c:v>34202.909599338629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0-42AF-BE55-068A7B9F7EFA}"/>
            </c:ext>
          </c:extLst>
        </c:ser>
        <c:ser>
          <c:idx val="1"/>
          <c:order val="1"/>
          <c:tx>
            <c:strRef>
              <c:f>Breakeven!$C$51</c:f>
              <c:strCache>
                <c:ptCount val="1"/>
                <c:pt idx="0">
                  <c:v>Profit (M6)</c:v>
                </c:pt>
              </c:strCache>
            </c:strRef>
          </c:tx>
          <c:spPr>
            <a:solidFill>
              <a:srgbClr val="00285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Breakeven!$A$52:$A$58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Breakeven!$C$52:$C$58</c:f>
              <c:numCache>
                <c:formatCode>\$#,##0</c:formatCode>
                <c:ptCount val="7"/>
                <c:pt idx="0">
                  <c:v>49251.438297347107</c:v>
                </c:pt>
                <c:pt idx="1">
                  <c:v>55391.479606972105</c:v>
                </c:pt>
                <c:pt idx="2">
                  <c:v>45856.128292254609</c:v>
                </c:pt>
                <c:pt idx="3">
                  <c:v>56533.875210768485</c:v>
                </c:pt>
                <c:pt idx="4">
                  <c:v>29722.469692614308</c:v>
                </c:pt>
                <c:pt idx="5">
                  <c:v>16489.52330329371</c:v>
                </c:pt>
                <c:pt idx="6">
                  <c:v>4703.5060702279588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D0-42AF-BE55-068A7B9F7EFA}"/>
            </c:ext>
          </c:extLst>
        </c:ser>
        <c:ser>
          <c:idx val="2"/>
          <c:order val="2"/>
          <c:tx>
            <c:strRef>
              <c:f>Breakeven!$D$51</c:f>
              <c:strCache>
                <c:ptCount val="1"/>
                <c:pt idx="0">
                  <c:v>Profit (Specific)</c:v>
                </c:pt>
              </c:strCache>
            </c:strRef>
          </c:tx>
          <c:spPr>
            <a:solidFill>
              <a:srgbClr val="C8A96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Breakeven!$A$52:$A$58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Breakeven!$D$52:$D$58</c:f>
              <c:numCache>
                <c:formatCode>\$#,##0</c:formatCode>
                <c:ptCount val="7"/>
                <c:pt idx="0">
                  <c:v>32129.801443142846</c:v>
                </c:pt>
                <c:pt idx="1">
                  <c:v>47134.744782874623</c:v>
                </c:pt>
                <c:pt idx="2">
                  <c:v>38490.741595771426</c:v>
                </c:pt>
                <c:pt idx="3">
                  <c:v>50584.338825002924</c:v>
                </c:pt>
                <c:pt idx="4">
                  <c:v>29468.91888141571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D0-42AF-BE55-068A7B9F7EFA}"/>
            </c:ext>
          </c:extLst>
        </c:ser>
        <c:ser>
          <c:idx val="3"/>
          <c:order val="3"/>
          <c:tx>
            <c:strRef>
              <c:f>Breakeven!$E$51</c:f>
              <c:strCache>
                <c:ptCount val="1"/>
                <c:pt idx="0">
                  <c:v>Profit (Simple)</c:v>
                </c:pt>
              </c:strCache>
            </c:strRef>
          </c:tx>
          <c:spPr>
            <a:solidFill>
              <a:srgbClr val="AFA9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Breakeven!$A$52:$A$58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Breakeven!$E$52:$E$58</c:f>
              <c:numCache>
                <c:formatCode>General</c:formatCode>
                <c:ptCount val="7"/>
                <c:pt idx="0">
                  <c:v>54955.900734687544</c:v>
                </c:pt>
                <c:pt idx="1">
                  <c:v>56213.618901172624</c:v>
                </c:pt>
                <c:pt idx="2">
                  <c:v>46409.521018957719</c:v>
                </c:pt>
                <c:pt idx="3">
                  <c:v>57005.715682195732</c:v>
                </c:pt>
                <c:pt idx="4">
                  <c:v>29722.469692614308</c:v>
                </c:pt>
                <c:pt idx="5">
                  <c:v>44955.900734687544</c:v>
                </c:pt>
                <c:pt idx="6">
                  <c:v>44367.970549092512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D0-42AF-BE55-068A7B9F7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213836"/>
        <c:axId val="77954940"/>
      </c:barChart>
      <c:catAx>
        <c:axId val="762138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7954940"/>
        <c:crosses val="autoZero"/>
        <c:auto val="1"/>
        <c:lblAlgn val="ctr"/>
        <c:lblOffset val="100"/>
        <c:noMultiLvlLbl val="0"/>
      </c:catAx>
      <c:valAx>
        <c:axId val="7795494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\$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6213836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1"/>
          <c:y val="0"/>
        </c:manualLayout>
      </c:layout>
      <c:overlay val="1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Payback Period (Years) — Machines Over 20yr Not Shown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Breakeven!$B$78</c:f>
              <c:strCache>
                <c:ptCount val="1"/>
                <c:pt idx="0">
                  <c:v>Payback (Global)</c:v>
                </c:pt>
              </c:strCache>
            </c:strRef>
          </c:tx>
          <c:spPr>
            <a:solidFill>
              <a:srgbClr val="36573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Breakeven!$A$79:$A$85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Breakeven!$B$79:$B$85</c:f>
              <c:numCache>
                <c:formatCode>0.0</c:formatCode>
                <c:ptCount val="7"/>
                <c:pt idx="0">
                  <c:v>0.46208968595722538</c:v>
                </c:pt>
                <c:pt idx="1">
                  <c:v>0.62262492051138685</c:v>
                </c:pt>
                <c:pt idx="2">
                  <c:v>1.0773651376314703</c:v>
                </c:pt>
                <c:pt idx="3">
                  <c:v>1.763090839026519</c:v>
                </c:pt>
                <c:pt idx="4">
                  <c:v>11.775602889653916</c:v>
                </c:pt>
                <c:pt idx="5">
                  <c:v>1.458833628374764</c:v>
                </c:pt>
                <c:pt idx="6">
                  <c:v>1.1694911476412366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4-4285-A4EE-9D7F3BB5E1E6}"/>
            </c:ext>
          </c:extLst>
        </c:ser>
        <c:ser>
          <c:idx val="1"/>
          <c:order val="1"/>
          <c:tx>
            <c:strRef>
              <c:f>Breakeven!$C$78</c:f>
              <c:strCache>
                <c:ptCount val="1"/>
                <c:pt idx="0">
                  <c:v>Payback (M6)</c:v>
                </c:pt>
              </c:strCache>
            </c:strRef>
          </c:tx>
          <c:spPr>
            <a:solidFill>
              <a:srgbClr val="00285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Breakeven!$A$79:$A$85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Breakeven!$C$79:$C$85</c:f>
              <c:numCache>
                <c:formatCode>0.0</c:formatCode>
                <c:ptCount val="7"/>
                <c:pt idx="0">
                  <c:v>0.50759938926182802</c:v>
                </c:pt>
                <c:pt idx="1">
                  <c:v>0.63186613263160718</c:v>
                </c:pt>
                <c:pt idx="2">
                  <c:v>1.0903668029131304</c:v>
                </c:pt>
                <c:pt idx="3">
                  <c:v>1.7688509699216968</c:v>
                </c:pt>
                <c:pt idx="4">
                  <c:v>11.775602889653916</c:v>
                </c:pt>
                <c:pt idx="5">
                  <c:v>3.3354511824495248</c:v>
                </c:pt>
                <c:pt idx="6">
                  <c:v>8.504294329115508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74-4285-A4EE-9D7F3BB5E1E6}"/>
            </c:ext>
          </c:extLst>
        </c:ser>
        <c:ser>
          <c:idx val="2"/>
          <c:order val="2"/>
          <c:tx>
            <c:strRef>
              <c:f>Breakeven!$D$78</c:f>
              <c:strCache>
                <c:ptCount val="1"/>
                <c:pt idx="0">
                  <c:v>Payback (Specific)</c:v>
                </c:pt>
              </c:strCache>
            </c:strRef>
          </c:tx>
          <c:spPr>
            <a:solidFill>
              <a:srgbClr val="C8A96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Breakeven!$A$79:$A$85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Breakeven!$D$79:$D$85</c:f>
              <c:numCache>
                <c:formatCode>0.0</c:formatCode>
                <c:ptCount val="7"/>
                <c:pt idx="0">
                  <c:v>0.7780938218445016</c:v>
                </c:pt>
                <c:pt idx="1">
                  <c:v>0.74255202104576756</c:v>
                </c:pt>
                <c:pt idx="2">
                  <c:v>1.2990136829552013</c:v>
                </c:pt>
                <c:pt idx="3">
                  <c:v>1.9768964529901458</c:v>
                </c:pt>
                <c:pt idx="4">
                  <c:v>11.876920270078999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74-4285-A4EE-9D7F3BB5E1E6}"/>
            </c:ext>
          </c:extLst>
        </c:ser>
        <c:ser>
          <c:idx val="3"/>
          <c:order val="3"/>
          <c:tx>
            <c:strRef>
              <c:f>Breakeven!$E$78</c:f>
              <c:strCache>
                <c:ptCount val="1"/>
                <c:pt idx="0">
                  <c:v>Payback (Simple)</c:v>
                </c:pt>
              </c:strCache>
            </c:strRef>
          </c:tx>
          <c:spPr>
            <a:solidFill>
              <a:srgbClr val="AFA9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Breakeven!$A$79:$A$85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Breakeven!$E$79:$E$85</c:f>
              <c:numCache>
                <c:formatCode>General</c:formatCode>
                <c:ptCount val="7"/>
                <c:pt idx="0">
                  <c:v>0.45491020374123869</c:v>
                </c:pt>
                <c:pt idx="1">
                  <c:v>0.62262492051138685</c:v>
                </c:pt>
                <c:pt idx="2">
                  <c:v>1.0773651376314703</c:v>
                </c:pt>
                <c:pt idx="3">
                  <c:v>1.7542100612769331</c:v>
                </c:pt>
                <c:pt idx="4">
                  <c:v>11.775602889653916</c:v>
                </c:pt>
                <c:pt idx="5">
                  <c:v>1.223421154980052</c:v>
                </c:pt>
                <c:pt idx="6">
                  <c:v>0.90155126558562293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74-4285-A4EE-9D7F3BB5E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73881"/>
        <c:axId val="14504997"/>
      </c:barChart>
      <c:catAx>
        <c:axId val="6207388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4504997"/>
        <c:crosses val="autoZero"/>
        <c:auto val="1"/>
        <c:lblAlgn val="ctr"/>
        <c:lblOffset val="100"/>
        <c:noMultiLvlLbl val="0"/>
      </c:catAx>
      <c:valAx>
        <c:axId val="1450499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2073881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1"/>
          <c:y val="0"/>
        </c:manualLayout>
      </c:layout>
      <c:overlay val="1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Profitability vs TUR — Where Does Each Decision Rule Break Even?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Global (PFA≤2%)</c:v>
          </c:tx>
          <c:spPr>
            <a:ln w="20160">
              <a:solidFill>
                <a:srgbClr val="36573B"/>
              </a:solidFill>
              <a:round/>
            </a:ln>
          </c:spPr>
          <c:marker>
            <c:symbol val="circle"/>
            <c:size val="8"/>
            <c:spPr>
              <a:solidFill>
                <a:srgbClr val="36573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Breakeven!$B$90:$B$96</c:f>
              <c:numCache>
                <c:formatCode>0.0</c:formatCode>
                <c:ptCount val="7"/>
                <c:pt idx="0">
                  <c:v>2</c:v>
                </c:pt>
                <c:pt idx="1">
                  <c:v>3.0303030303030303</c:v>
                </c:pt>
                <c:pt idx="2">
                  <c:v>3.3333333333333335</c:v>
                </c:pt>
                <c:pt idx="3">
                  <c:v>5</c:v>
                </c:pt>
                <c:pt idx="4">
                  <c:v>50</c:v>
                </c:pt>
                <c:pt idx="5">
                  <c:v>2</c:v>
                </c:pt>
                <c:pt idx="6">
                  <c:v>1.6666666666666667</c:v>
                </c:pt>
              </c:numCache>
            </c:numRef>
          </c:xVal>
          <c:yVal>
            <c:numRef>
              <c:f>Breakeven!$C$90:$C$96</c:f>
              <c:numCache>
                <c:formatCode>\$#,##0</c:formatCode>
                <c:ptCount val="7"/>
                <c:pt idx="0">
                  <c:v>54102.051527534408</c:v>
                </c:pt>
                <c:pt idx="1">
                  <c:v>56213.618901172624</c:v>
                </c:pt>
                <c:pt idx="2">
                  <c:v>46409.521018957719</c:v>
                </c:pt>
                <c:pt idx="3">
                  <c:v>56718.575008429209</c:v>
                </c:pt>
                <c:pt idx="4">
                  <c:v>29722.469692614308</c:v>
                </c:pt>
                <c:pt idx="5">
                  <c:v>37701.35190897237</c:v>
                </c:pt>
                <c:pt idx="6">
                  <c:v>34202.909599338629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795-4DC6-99EF-78AAA22DCBBC}"/>
            </c:ext>
          </c:extLst>
        </c:ser>
        <c:ser>
          <c:idx val="1"/>
          <c:order val="1"/>
          <c:tx>
            <c:v>Method 6</c:v>
          </c:tx>
          <c:spPr>
            <a:ln w="20160">
              <a:solidFill>
                <a:srgbClr val="002855"/>
              </a:solidFill>
              <a:round/>
            </a:ln>
          </c:spPr>
          <c:marker>
            <c:symbol val="square"/>
            <c:size val="8"/>
            <c:spPr>
              <a:solidFill>
                <a:srgbClr val="002855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Breakeven!$D$90:$D$96</c:f>
              <c:numCache>
                <c:formatCode>0.0</c:formatCode>
                <c:ptCount val="7"/>
                <c:pt idx="0">
                  <c:v>2</c:v>
                </c:pt>
                <c:pt idx="1">
                  <c:v>3.0303030303030303</c:v>
                </c:pt>
                <c:pt idx="2">
                  <c:v>3.3333333333333335</c:v>
                </c:pt>
                <c:pt idx="3">
                  <c:v>5</c:v>
                </c:pt>
                <c:pt idx="4">
                  <c:v>50</c:v>
                </c:pt>
                <c:pt idx="5">
                  <c:v>2</c:v>
                </c:pt>
                <c:pt idx="6">
                  <c:v>1.6666666666666667</c:v>
                </c:pt>
              </c:numCache>
            </c:numRef>
          </c:xVal>
          <c:yVal>
            <c:numRef>
              <c:f>Breakeven!$E$90:$E$96</c:f>
              <c:numCache>
                <c:formatCode>\$#,##0</c:formatCode>
                <c:ptCount val="7"/>
                <c:pt idx="0">
                  <c:v>49251.438297347107</c:v>
                </c:pt>
                <c:pt idx="1">
                  <c:v>55391.479606972105</c:v>
                </c:pt>
                <c:pt idx="2">
                  <c:v>45856.128292254609</c:v>
                </c:pt>
                <c:pt idx="3">
                  <c:v>56533.875210768485</c:v>
                </c:pt>
                <c:pt idx="4">
                  <c:v>29722.469692614308</c:v>
                </c:pt>
                <c:pt idx="5">
                  <c:v>16489.52330329371</c:v>
                </c:pt>
                <c:pt idx="6">
                  <c:v>4703.5060702279588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795-4DC6-99EF-78AAA22DCBBC}"/>
            </c:ext>
          </c:extLst>
        </c:ser>
        <c:ser>
          <c:idx val="2"/>
          <c:order val="2"/>
          <c:tx>
            <c:v>Specific Risk</c:v>
          </c:tx>
          <c:spPr>
            <a:ln w="20160">
              <a:solidFill>
                <a:srgbClr val="C8A96E"/>
              </a:solidFill>
              <a:round/>
            </a:ln>
          </c:spPr>
          <c:marker>
            <c:symbol val="triangle"/>
            <c:size val="8"/>
            <c:spPr>
              <a:solidFill>
                <a:srgbClr val="C8A96E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Breakeven!$F$90:$F$96</c:f>
              <c:numCache>
                <c:formatCode>0.0</c:formatCode>
                <c:ptCount val="7"/>
                <c:pt idx="0">
                  <c:v>2</c:v>
                </c:pt>
                <c:pt idx="1">
                  <c:v>3.0303030303030303</c:v>
                </c:pt>
                <c:pt idx="2">
                  <c:v>3.3333333333333335</c:v>
                </c:pt>
                <c:pt idx="3">
                  <c:v>5</c:v>
                </c:pt>
                <c:pt idx="4">
                  <c:v>50</c:v>
                </c:pt>
                <c:pt idx="5">
                  <c:v>2</c:v>
                </c:pt>
                <c:pt idx="6">
                  <c:v>1.6666666666666667</c:v>
                </c:pt>
              </c:numCache>
            </c:numRef>
          </c:xVal>
          <c:yVal>
            <c:numRef>
              <c:f>Breakeven!$G$90:$G$96</c:f>
              <c:numCache>
                <c:formatCode>\$#,##0</c:formatCode>
                <c:ptCount val="7"/>
                <c:pt idx="0">
                  <c:v>32129.801443142846</c:v>
                </c:pt>
                <c:pt idx="1">
                  <c:v>47134.744782874623</c:v>
                </c:pt>
                <c:pt idx="2">
                  <c:v>38490.741595771426</c:v>
                </c:pt>
                <c:pt idx="3">
                  <c:v>50584.338825002924</c:v>
                </c:pt>
                <c:pt idx="4">
                  <c:v>29468.91888141571</c:v>
                </c:pt>
                <c:pt idx="5">
                  <c:v>-3916.6666666666715</c:v>
                </c:pt>
                <c:pt idx="6">
                  <c:v>-3916.6666666666715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795-4DC6-99EF-78AAA22DCBBC}"/>
            </c:ext>
          </c:extLst>
        </c:ser>
        <c:ser>
          <c:idx val="3"/>
          <c:order val="3"/>
          <c:tx>
            <c:v>Simple Accept</c:v>
          </c:tx>
          <c:spPr>
            <a:ln w="20160">
              <a:solidFill>
                <a:srgbClr val="AFA9A0"/>
              </a:solidFill>
              <a:prstDash val="dash"/>
              <a:round/>
            </a:ln>
          </c:spPr>
          <c:marker>
            <c:symbol val="diamond"/>
            <c:size val="8"/>
            <c:spPr>
              <a:solidFill>
                <a:srgbClr val="AFA9A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Breakeven!$H$90:$H$96</c:f>
              <c:numCache>
                <c:formatCode>0.0</c:formatCode>
                <c:ptCount val="7"/>
                <c:pt idx="0">
                  <c:v>2</c:v>
                </c:pt>
                <c:pt idx="1">
                  <c:v>3.0303030303030303</c:v>
                </c:pt>
                <c:pt idx="2">
                  <c:v>3.3333333333333335</c:v>
                </c:pt>
                <c:pt idx="3">
                  <c:v>5</c:v>
                </c:pt>
                <c:pt idx="4">
                  <c:v>50</c:v>
                </c:pt>
                <c:pt idx="5">
                  <c:v>2</c:v>
                </c:pt>
                <c:pt idx="6">
                  <c:v>1.6666666666666667</c:v>
                </c:pt>
              </c:numCache>
            </c:numRef>
          </c:xVal>
          <c:yVal>
            <c:numRef>
              <c:f>Breakeven!$I$90:$I$96</c:f>
              <c:numCache>
                <c:formatCode>\$#,##0</c:formatCode>
                <c:ptCount val="7"/>
                <c:pt idx="0">
                  <c:v>54955.900734687544</c:v>
                </c:pt>
                <c:pt idx="1">
                  <c:v>56213.618901172624</c:v>
                </c:pt>
                <c:pt idx="2">
                  <c:v>46409.521018957719</c:v>
                </c:pt>
                <c:pt idx="3">
                  <c:v>57005.715682195732</c:v>
                </c:pt>
                <c:pt idx="4">
                  <c:v>29722.469692614308</c:v>
                </c:pt>
                <c:pt idx="5">
                  <c:v>44955.900734687544</c:v>
                </c:pt>
                <c:pt idx="6">
                  <c:v>44367.970549092512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795-4DC6-99EF-78AAA22DCBBC}"/>
            </c:ext>
          </c:extLst>
        </c:ser>
        <c:ser>
          <c:idx val="4"/>
          <c:order val="4"/>
          <c:tx>
            <c:v>$0 Breakeven</c:v>
          </c:tx>
          <c:spPr>
            <a:ln w="15120">
              <a:solidFill>
                <a:srgbClr val="C0392B"/>
              </a:solidFill>
              <a:prstDash val="dot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Breakeven!$B$97:$B$98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xVal>
          <c:yVal>
            <c:numRef>
              <c:f>Breakeven!$C$97:$C$98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795-4DC6-99EF-78AAA22DC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93343"/>
        <c:axId val="62177699"/>
      </c:scatterChart>
      <c:valAx>
        <c:axId val="90293343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TUR (Test Uncertainty Ratio)</a:t>
                </a:r>
              </a:p>
            </c:rich>
          </c:tx>
          <c:layout>
            <c:manualLayout>
              <c:xMode val="edge"/>
              <c:yMode val="edge"/>
              <c:x val="0.41265512068730398"/>
              <c:y val="0.91427238184121096"/>
            </c:manualLayout>
          </c:layout>
          <c:overlay val="0"/>
          <c:spPr>
            <a:noFill/>
            <a:ln w="0">
              <a:noFill/>
            </a:ln>
          </c:spPr>
        </c:title>
        <c:numFmt formatCode="0.0" sourceLinked="0"/>
        <c:majorTickMark val="none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2177699"/>
        <c:crosses val="autoZero"/>
        <c:crossBetween val="midCat"/>
      </c:valAx>
      <c:valAx>
        <c:axId val="6217769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\$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0293343"/>
        <c:crosses val="autoZero"/>
        <c:crossBetween val="midCat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77870782828282803"/>
          <c:y val="6.1001448892962502E-2"/>
          <c:w val="0.21869532828282801"/>
          <c:h val="0.170198725159355"/>
        </c:manualLayout>
      </c:layout>
      <c:overlay val="1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Tolerance Consumed by Specific Risk Guard Band vs M6 Guard Band vs Simple Acceptance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'Guard Band Analysis'!$D$5</c:f>
              <c:strCache>
                <c:ptCount val="1"/>
                <c:pt idx="0">
                  <c:v>Tol% Spec</c:v>
                </c:pt>
              </c:strCache>
            </c:strRef>
          </c:tx>
          <c:spPr>
            <a:ln w="28440">
              <a:solidFill>
                <a:srgbClr val="C0392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'Guard Band Analysis'!$A$6:$A$15</c:f>
              <c:numCache>
                <c:formatCode>General</c:formatCode>
                <c:ptCount val="10"/>
                <c:pt idx="0">
                  <c:v>1.5</c:v>
                </c:pt>
                <c:pt idx="1">
                  <c:v>2</c:v>
                </c:pt>
                <c:pt idx="2">
                  <c:v>2.5</c:v>
                </c:pt>
                <c:pt idx="3">
                  <c:v>3</c:v>
                </c:pt>
                <c:pt idx="4">
                  <c:v>3.5</c:v>
                </c:pt>
                <c:pt idx="5">
                  <c:v>4</c:v>
                </c:pt>
                <c:pt idx="6">
                  <c:v>4.5999999999999996</c:v>
                </c:pt>
                <c:pt idx="7">
                  <c:v>5</c:v>
                </c:pt>
                <c:pt idx="8">
                  <c:v>10</c:v>
                </c:pt>
                <c:pt idx="9">
                  <c:v>24</c:v>
                </c:pt>
              </c:numCache>
            </c:numRef>
          </c:cat>
          <c:val>
            <c:numRef>
              <c:f>'Guard Band Analysis'!$D$6:$D$15</c:f>
              <c:numCache>
                <c:formatCode>0.0%</c:formatCode>
                <c:ptCount val="10"/>
                <c:pt idx="0">
                  <c:v>0.65333333333333332</c:v>
                </c:pt>
                <c:pt idx="1">
                  <c:v>0.49</c:v>
                </c:pt>
                <c:pt idx="2">
                  <c:v>0.39200000000000002</c:v>
                </c:pt>
                <c:pt idx="3">
                  <c:v>0.32666666666666666</c:v>
                </c:pt>
                <c:pt idx="4">
                  <c:v>0.27999999999999997</c:v>
                </c:pt>
                <c:pt idx="5">
                  <c:v>0.245</c:v>
                </c:pt>
                <c:pt idx="6">
                  <c:v>0.21304347826086958</c:v>
                </c:pt>
                <c:pt idx="7">
                  <c:v>0.19600000000000001</c:v>
                </c:pt>
                <c:pt idx="8">
                  <c:v>9.8000000000000004E-2</c:v>
                </c:pt>
                <c:pt idx="9">
                  <c:v>4.0833333333333333E-2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683-4412-AD1C-C2DBB97B3DCA}"/>
            </c:ext>
          </c:extLst>
        </c:ser>
        <c:ser>
          <c:idx val="1"/>
          <c:order val="1"/>
          <c:tx>
            <c:strRef>
              <c:f>'Guard Band Analysis'!$G$5</c:f>
              <c:strCache>
                <c:ptCount val="1"/>
                <c:pt idx="0">
                  <c:v>Tol% M6</c:v>
                </c:pt>
              </c:strCache>
            </c:strRef>
          </c:tx>
          <c:spPr>
            <a:ln w="28440">
              <a:solidFill>
                <a:srgbClr val="36573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'Guard Band Analysis'!$A$6:$A$15</c:f>
              <c:numCache>
                <c:formatCode>General</c:formatCode>
                <c:ptCount val="10"/>
                <c:pt idx="0">
                  <c:v>1.5</c:v>
                </c:pt>
                <c:pt idx="1">
                  <c:v>2</c:v>
                </c:pt>
                <c:pt idx="2">
                  <c:v>2.5</c:v>
                </c:pt>
                <c:pt idx="3">
                  <c:v>3</c:v>
                </c:pt>
                <c:pt idx="4">
                  <c:v>3.5</c:v>
                </c:pt>
                <c:pt idx="5">
                  <c:v>4</c:v>
                </c:pt>
                <c:pt idx="6">
                  <c:v>4.5999999999999996</c:v>
                </c:pt>
                <c:pt idx="7">
                  <c:v>5</c:v>
                </c:pt>
                <c:pt idx="8">
                  <c:v>10</c:v>
                </c:pt>
                <c:pt idx="9">
                  <c:v>24</c:v>
                </c:pt>
              </c:numCache>
            </c:numRef>
          </c:cat>
          <c:val>
            <c:numRef>
              <c:f>'Guard Band Analysis'!$G$6:$G$15</c:f>
              <c:numCache>
                <c:formatCode>0.0%</c:formatCode>
                <c:ptCount val="10"/>
                <c:pt idx="0">
                  <c:v>0.24011820399529027</c:v>
                </c:pt>
                <c:pt idx="1">
                  <c:v>0.14082265400004407</c:v>
                </c:pt>
                <c:pt idx="2">
                  <c:v>8.5814365456493263E-2</c:v>
                </c:pt>
                <c:pt idx="3">
                  <c:v>5.1772758003104213E-2</c:v>
                </c:pt>
                <c:pt idx="4">
                  <c:v>2.9128047588574933E-2</c:v>
                </c:pt>
                <c:pt idx="5">
                  <c:v>1.328032450743466E-2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683-4412-AD1C-C2DBB97B3DCA}"/>
            </c:ext>
          </c:extLst>
        </c:ser>
        <c:ser>
          <c:idx val="2"/>
          <c:order val="2"/>
          <c:tx>
            <c:strRef>
              <c:f>'Guard Band Analysis'!$J$5</c:f>
              <c:strCache>
                <c:ptCount val="1"/>
                <c:pt idx="0">
                  <c:v>Tol%
Simple</c:v>
                </c:pt>
              </c:strCache>
            </c:strRef>
          </c:tx>
          <c:spPr>
            <a:ln w="28440">
              <a:solidFill>
                <a:srgbClr val="AFA9A0"/>
              </a:solidFill>
              <a:prstDash val="dash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'Guard Band Analysis'!$A$6:$A$15</c:f>
              <c:numCache>
                <c:formatCode>General</c:formatCode>
                <c:ptCount val="10"/>
                <c:pt idx="0">
                  <c:v>1.5</c:v>
                </c:pt>
                <c:pt idx="1">
                  <c:v>2</c:v>
                </c:pt>
                <c:pt idx="2">
                  <c:v>2.5</c:v>
                </c:pt>
                <c:pt idx="3">
                  <c:v>3</c:v>
                </c:pt>
                <c:pt idx="4">
                  <c:v>3.5</c:v>
                </c:pt>
                <c:pt idx="5">
                  <c:v>4</c:v>
                </c:pt>
                <c:pt idx="6">
                  <c:v>4.5999999999999996</c:v>
                </c:pt>
                <c:pt idx="7">
                  <c:v>5</c:v>
                </c:pt>
                <c:pt idx="8">
                  <c:v>10</c:v>
                </c:pt>
                <c:pt idx="9">
                  <c:v>24</c:v>
                </c:pt>
              </c:numCache>
            </c:numRef>
          </c:cat>
          <c:val>
            <c:numRef>
              <c:f>'Guard Band Analysis'!$J$6:$J$15</c:f>
              <c:numCache>
                <c:formatCode>0.0%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683-4412-AD1C-C2DBB97B3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57858646"/>
        <c:axId val="68395804"/>
      </c:lineChart>
      <c:catAx>
        <c:axId val="5785864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TUR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8395804"/>
        <c:crosses val="autoZero"/>
        <c:auto val="1"/>
        <c:lblAlgn val="ctr"/>
        <c:lblOffset val="100"/>
        <c:noMultiLvlLbl val="0"/>
      </c:catAx>
      <c:valAx>
        <c:axId val="6839580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Consumed (%)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7858646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1"/>
          <c:y val="0"/>
        </c:manualLayout>
      </c:layout>
      <c:overlay val="1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Annual Cost by Loading Strategy (Swap + Cal + Rework)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'Standard Switching'!$B$21</c:f>
              <c:strCache>
                <c:ptCount val="1"/>
                <c:pt idx="0">
                  <c:v>Swap Cost</c:v>
                </c:pt>
              </c:strCache>
            </c:strRef>
          </c:tx>
          <c:spPr>
            <a:solidFill>
              <a:srgbClr val="C0392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'Standard Switching'!$A$22:$A$25</c:f>
              <c:strCache>
                <c:ptCount val="4"/>
                <c:pt idx="0">
                  <c:v>5% (UPC)</c:v>
                </c:pt>
                <c:pt idx="1">
                  <c:v>10% (PC)</c:v>
                </c:pt>
                <c:pt idx="2">
                  <c:v>20% (Commercial)</c:v>
                </c:pt>
                <c:pt idx="3">
                  <c:v>Deadweight</c:v>
                </c:pt>
              </c:strCache>
            </c:strRef>
          </c:cat>
          <c:val>
            <c:numRef>
              <c:f>'Standard Switching'!$B$22:$B$25</c:f>
              <c:numCache>
                <c:formatCode>\$#,##0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1-440B-878B-6D390B5AA477}"/>
            </c:ext>
          </c:extLst>
        </c:ser>
        <c:ser>
          <c:idx val="1"/>
          <c:order val="1"/>
          <c:tx>
            <c:strRef>
              <c:f>'Standard Switching'!$C$21</c:f>
              <c:strCache>
                <c:ptCount val="1"/>
                <c:pt idx="0">
                  <c:v>Cal Cost</c:v>
                </c:pt>
              </c:strCache>
            </c:strRef>
          </c:tx>
          <c:spPr>
            <a:solidFill>
              <a:srgbClr val="00285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'Standard Switching'!$A$22:$A$25</c:f>
              <c:strCache>
                <c:ptCount val="4"/>
                <c:pt idx="0">
                  <c:v>5% (UPC)</c:v>
                </c:pt>
                <c:pt idx="1">
                  <c:v>10% (PC)</c:v>
                </c:pt>
                <c:pt idx="2">
                  <c:v>20% (Commercial)</c:v>
                </c:pt>
                <c:pt idx="3">
                  <c:v>Deadweight</c:v>
                </c:pt>
              </c:strCache>
            </c:strRef>
          </c:cat>
          <c:val>
            <c:numRef>
              <c:f>'Standard Switching'!$C$22:$C$25</c:f>
              <c:numCache>
                <c:formatCode>\$#,##0</c:formatCode>
                <c:ptCount val="4"/>
                <c:pt idx="0">
                  <c:v>2000</c:v>
                </c:pt>
                <c:pt idx="1">
                  <c:v>4000</c:v>
                </c:pt>
                <c:pt idx="2">
                  <c:v>6000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11-440B-878B-6D390B5AA477}"/>
            </c:ext>
          </c:extLst>
        </c:ser>
        <c:ser>
          <c:idx val="2"/>
          <c:order val="2"/>
          <c:tx>
            <c:strRef>
              <c:f>'Standard Switching'!$D$21</c:f>
              <c:strCache>
                <c:ptCount val="1"/>
                <c:pt idx="0">
                  <c:v>Rework (M6)</c:v>
                </c:pt>
              </c:strCache>
            </c:strRef>
          </c:tx>
          <c:spPr>
            <a:solidFill>
              <a:srgbClr val="C8A96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'Standard Switching'!$A$22:$A$25</c:f>
              <c:strCache>
                <c:ptCount val="4"/>
                <c:pt idx="0">
                  <c:v>5% (UPC)</c:v>
                </c:pt>
                <c:pt idx="1">
                  <c:v>10% (PC)</c:v>
                </c:pt>
                <c:pt idx="2">
                  <c:v>20% (Commercial)</c:v>
                </c:pt>
                <c:pt idx="3">
                  <c:v>Deadweight</c:v>
                </c:pt>
              </c:strCache>
            </c:strRef>
          </c:cat>
          <c:val>
            <c:numRef>
              <c:f>'Standard Switching'!$D$22:$D$25</c:f>
              <c:numCache>
                <c:formatCode>\$#,##0</c:formatCode>
                <c:ptCount val="4"/>
                <c:pt idx="0">
                  <c:v>2662.8332501783379</c:v>
                </c:pt>
                <c:pt idx="1">
                  <c:v>1466.1247892315043</c:v>
                </c:pt>
                <c:pt idx="2">
                  <c:v>994.28431780426058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11-440B-878B-6D390B5AA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926859"/>
        <c:axId val="97097311"/>
      </c:barChart>
      <c:catAx>
        <c:axId val="7492685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Loading Strategy</a:t>
                </a:r>
              </a:p>
            </c:rich>
          </c:tx>
          <c:layout>
            <c:manualLayout>
              <c:xMode val="edge"/>
              <c:yMode val="edge"/>
              <c:x val="0.44181497208836301"/>
              <c:y val="0.9115729421352890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7097311"/>
        <c:crosses val="autoZero"/>
        <c:auto val="1"/>
        <c:lblAlgn val="ctr"/>
        <c:lblOffset val="100"/>
        <c:noMultiLvlLbl val="0"/>
      </c:catAx>
      <c:valAx>
        <c:axId val="9709731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\$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4926859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62557984018228896"/>
          <c:y val="8.95515688004032E-2"/>
          <c:w val="0.36649577114259801"/>
          <c:h val="6.0287770917338702E-2"/>
        </c:manualLayout>
      </c:layout>
      <c:overlay val="1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000" b="1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Annual Profit — No Bar = Not Profitable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Dashboard!$B$56</c:f>
              <c:strCache>
                <c:ptCount val="1"/>
                <c:pt idx="0">
                  <c:v>Profit (Global)</c:v>
                </c:pt>
              </c:strCache>
            </c:strRef>
          </c:tx>
          <c:spPr>
            <a:solidFill>
              <a:srgbClr val="36573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Dashboard!$A$57:$A$63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Dashboard!$B$57:$B$63</c:f>
              <c:numCache>
                <c:formatCode>\$#,##0</c:formatCode>
                <c:ptCount val="7"/>
                <c:pt idx="0">
                  <c:v>54102.051527534408</c:v>
                </c:pt>
                <c:pt idx="1">
                  <c:v>56213.618901172624</c:v>
                </c:pt>
                <c:pt idx="2">
                  <c:v>46409.521018957719</c:v>
                </c:pt>
                <c:pt idx="3">
                  <c:v>56718.575008429209</c:v>
                </c:pt>
                <c:pt idx="4">
                  <c:v>29722.469692614308</c:v>
                </c:pt>
                <c:pt idx="5">
                  <c:v>37701.35190897237</c:v>
                </c:pt>
                <c:pt idx="6">
                  <c:v>34202.909599338629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8-4874-8C68-992725C85A97}"/>
            </c:ext>
          </c:extLst>
        </c:ser>
        <c:ser>
          <c:idx val="1"/>
          <c:order val="1"/>
          <c:tx>
            <c:strRef>
              <c:f>Dashboard!$C$56</c:f>
              <c:strCache>
                <c:ptCount val="1"/>
                <c:pt idx="0">
                  <c:v>Profit (M6)</c:v>
                </c:pt>
              </c:strCache>
            </c:strRef>
          </c:tx>
          <c:spPr>
            <a:solidFill>
              <a:srgbClr val="00285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Dashboard!$A$57:$A$63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Dashboard!$C$57:$C$63</c:f>
              <c:numCache>
                <c:formatCode>\$#,##0</c:formatCode>
                <c:ptCount val="7"/>
                <c:pt idx="0">
                  <c:v>49251.438297347107</c:v>
                </c:pt>
                <c:pt idx="1">
                  <c:v>55391.479606972105</c:v>
                </c:pt>
                <c:pt idx="2">
                  <c:v>45856.128292254609</c:v>
                </c:pt>
                <c:pt idx="3">
                  <c:v>56533.875210768485</c:v>
                </c:pt>
                <c:pt idx="4">
                  <c:v>29722.469692614308</c:v>
                </c:pt>
                <c:pt idx="5">
                  <c:v>16489.52330329371</c:v>
                </c:pt>
                <c:pt idx="6">
                  <c:v>4703.5060702279588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8-4874-8C68-992725C85A97}"/>
            </c:ext>
          </c:extLst>
        </c:ser>
        <c:ser>
          <c:idx val="2"/>
          <c:order val="2"/>
          <c:tx>
            <c:strRef>
              <c:f>Dashboard!$D$56</c:f>
              <c:strCache>
                <c:ptCount val="1"/>
                <c:pt idx="0">
                  <c:v>Profit (Specific)</c:v>
                </c:pt>
              </c:strCache>
            </c:strRef>
          </c:tx>
          <c:spPr>
            <a:solidFill>
              <a:srgbClr val="C8A96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Dashboard!$A$57:$A$63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Dashboard!$D$57:$D$63</c:f>
              <c:numCache>
                <c:formatCode>\$#,##0</c:formatCode>
                <c:ptCount val="7"/>
                <c:pt idx="0">
                  <c:v>32129.801443142846</c:v>
                </c:pt>
                <c:pt idx="1">
                  <c:v>47134.744782874623</c:v>
                </c:pt>
                <c:pt idx="2">
                  <c:v>38490.741595771426</c:v>
                </c:pt>
                <c:pt idx="3">
                  <c:v>50584.338825002924</c:v>
                </c:pt>
                <c:pt idx="4">
                  <c:v>29468.91888141571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28-4874-8C68-992725C85A97}"/>
            </c:ext>
          </c:extLst>
        </c:ser>
        <c:ser>
          <c:idx val="3"/>
          <c:order val="3"/>
          <c:tx>
            <c:strRef>
              <c:f>Dashboard!$H$56</c:f>
              <c:strCache>
                <c:ptCount val="1"/>
                <c:pt idx="0">
                  <c:v>Profit (Simple)</c:v>
                </c:pt>
              </c:strCache>
            </c:strRef>
          </c:tx>
          <c:spPr>
            <a:solidFill>
              <a:srgbClr val="AFA9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Dashboard!$A$57:$A$63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Dashboard!$H$57:$H$63</c:f>
              <c:numCache>
                <c:formatCode>\$#,##0</c:formatCode>
                <c:ptCount val="7"/>
                <c:pt idx="0">
                  <c:v>54955.900734687544</c:v>
                </c:pt>
                <c:pt idx="1">
                  <c:v>56213.618901172624</c:v>
                </c:pt>
                <c:pt idx="2">
                  <c:v>46409.521018957719</c:v>
                </c:pt>
                <c:pt idx="3">
                  <c:v>57005.715682195732</c:v>
                </c:pt>
                <c:pt idx="4">
                  <c:v>29722.469692614308</c:v>
                </c:pt>
                <c:pt idx="5">
                  <c:v>44955.900734687544</c:v>
                </c:pt>
                <c:pt idx="6">
                  <c:v>44367.970549092512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28-4874-8C68-992725C85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290611"/>
        <c:axId val="89488535"/>
      </c:barChart>
      <c:catAx>
        <c:axId val="6829061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800" b="0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9488535"/>
        <c:crosses val="autoZero"/>
        <c:auto val="1"/>
        <c:lblAlgn val="ctr"/>
        <c:lblOffset val="100"/>
        <c:noMultiLvlLbl val="0"/>
      </c:catAx>
      <c:valAx>
        <c:axId val="8948853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\$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800" b="0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90611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1"/>
          <c:y val="0"/>
        </c:manualLayout>
      </c:layout>
      <c:overlay val="1"/>
      <c:spPr>
        <a:noFill/>
        <a:ln w="0">
          <a:noFill/>
        </a:ln>
      </c:spPr>
      <c:txPr>
        <a:bodyPr/>
        <a:lstStyle/>
        <a:p>
          <a:pPr>
            <a:defRPr sz="800" b="0" strike="noStrike" spc="-1">
              <a:solidFill>
                <a:srgbClr val="36573B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000" b="1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Annual Cost by Machine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'Range Analysis'!$B$33</c:f>
              <c:strCache>
                <c:ptCount val="1"/>
                <c:pt idx="0">
                  <c:v>Global</c:v>
                </c:pt>
              </c:strCache>
            </c:strRef>
          </c:tx>
          <c:spPr>
            <a:solidFill>
              <a:srgbClr val="36573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'Range Analysis'!$A$34:$A$40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'Range Analysis'!$B$34:$B$40</c:f>
              <c:numCache>
                <c:formatCode>\$#,##0</c:formatCode>
                <c:ptCount val="7"/>
                <c:pt idx="0">
                  <c:v>5897.9484724655886</c:v>
                </c:pt>
                <c:pt idx="1">
                  <c:v>3786.3810988273713</c:v>
                </c:pt>
                <c:pt idx="2">
                  <c:v>3590.4789810422817</c:v>
                </c:pt>
                <c:pt idx="3">
                  <c:v>3281.4249915707787</c:v>
                </c:pt>
                <c:pt idx="4">
                  <c:v>277.53030738569646</c:v>
                </c:pt>
                <c:pt idx="5">
                  <c:v>12298.648091027624</c:v>
                </c:pt>
                <c:pt idx="6">
                  <c:v>15797.09040066138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1-40DE-8EC5-107C5AE64940}"/>
            </c:ext>
          </c:extLst>
        </c:ser>
        <c:ser>
          <c:idx val="1"/>
          <c:order val="1"/>
          <c:tx>
            <c:strRef>
              <c:f>'Range Analysis'!$D$33</c:f>
              <c:strCache>
                <c:ptCount val="1"/>
                <c:pt idx="0">
                  <c:v>Method 6</c:v>
                </c:pt>
              </c:strCache>
            </c:strRef>
          </c:tx>
          <c:spPr>
            <a:solidFill>
              <a:srgbClr val="00285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'Range Analysis'!$A$34:$A$40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'Range Analysis'!$D$34:$D$40</c:f>
              <c:numCache>
                <c:formatCode>\$#,##0</c:formatCode>
                <c:ptCount val="7"/>
                <c:pt idx="0">
                  <c:v>10748.561702652902</c:v>
                </c:pt>
                <c:pt idx="1">
                  <c:v>4608.5203930278913</c:v>
                </c:pt>
                <c:pt idx="2">
                  <c:v>4143.8717077453948</c:v>
                </c:pt>
                <c:pt idx="3">
                  <c:v>3466.1247892315041</c:v>
                </c:pt>
                <c:pt idx="4">
                  <c:v>277.53030738569646</c:v>
                </c:pt>
                <c:pt idx="5">
                  <c:v>33510.476696706282</c:v>
                </c:pt>
                <c:pt idx="6">
                  <c:v>45296.493929772041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A1-40DE-8EC5-107C5AE64940}"/>
            </c:ext>
          </c:extLst>
        </c:ser>
        <c:ser>
          <c:idx val="2"/>
          <c:order val="2"/>
          <c:tx>
            <c:strRef>
              <c:f>'Range Analysis'!$E$33</c:f>
              <c:strCache>
                <c:ptCount val="1"/>
                <c:pt idx="0">
                  <c:v>Specific Risk</c:v>
                </c:pt>
              </c:strCache>
            </c:strRef>
          </c:tx>
          <c:spPr>
            <a:solidFill>
              <a:srgbClr val="C8A96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'Range Analysis'!$A$34:$A$40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'Range Analysis'!$E$34:$E$40</c:f>
              <c:numCache>
                <c:formatCode>\$#,##0</c:formatCode>
                <c:ptCount val="7"/>
                <c:pt idx="0">
                  <c:v>27870.198556857162</c:v>
                </c:pt>
                <c:pt idx="1">
                  <c:v>12865.255217125372</c:v>
                </c:pt>
                <c:pt idx="2">
                  <c:v>11509.258404228567</c:v>
                </c:pt>
                <c:pt idx="3">
                  <c:v>9415.6611749970652</c:v>
                </c:pt>
                <c:pt idx="4">
                  <c:v>531.08111858428208</c:v>
                </c:pt>
                <c:pt idx="5">
                  <c:v>53916.666666666672</c:v>
                </c:pt>
                <c:pt idx="6">
                  <c:v>53916.666666666672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A1-40DE-8EC5-107C5AE64940}"/>
            </c:ext>
          </c:extLst>
        </c:ser>
        <c:ser>
          <c:idx val="3"/>
          <c:order val="3"/>
          <c:tx>
            <c:strRef>
              <c:f>'Range Analysis'!$F$33</c:f>
              <c:strCache>
                <c:ptCount val="1"/>
                <c:pt idx="0">
                  <c:v>Simple Accept</c:v>
                </c:pt>
              </c:strCache>
            </c:strRef>
          </c:tx>
          <c:spPr>
            <a:solidFill>
              <a:srgbClr val="AFA9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'Range Analysis'!$A$34:$A$40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'Range Analysis'!$F$34:$F$40</c:f>
              <c:numCache>
                <c:formatCode>\$#,##0</c:formatCode>
                <c:ptCount val="7"/>
                <c:pt idx="0">
                  <c:v>5044.0992653124486</c:v>
                </c:pt>
                <c:pt idx="1">
                  <c:v>3786.3810988273713</c:v>
                </c:pt>
                <c:pt idx="2">
                  <c:v>3590.4789810422817</c:v>
                </c:pt>
                <c:pt idx="3">
                  <c:v>2994.2843178042604</c:v>
                </c:pt>
                <c:pt idx="4">
                  <c:v>277.53030738569646</c:v>
                </c:pt>
                <c:pt idx="5">
                  <c:v>5044.0992653124486</c:v>
                </c:pt>
                <c:pt idx="6">
                  <c:v>5632.0294509074747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A1-40DE-8EC5-107C5AE64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33773"/>
        <c:axId val="91534104"/>
      </c:barChart>
      <c:catAx>
        <c:axId val="89733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800" b="0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534104"/>
        <c:crosses val="autoZero"/>
        <c:auto val="1"/>
        <c:lblAlgn val="ctr"/>
        <c:lblOffset val="100"/>
        <c:noMultiLvlLbl val="0"/>
      </c:catAx>
      <c:valAx>
        <c:axId val="9153410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\$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800" b="0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9733773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1"/>
          <c:y val="0"/>
        </c:manualLayout>
      </c:layout>
      <c:overlay val="1"/>
      <c:spPr>
        <a:noFill/>
        <a:ln w="0">
          <a:noFill/>
        </a:ln>
      </c:spPr>
      <c:txPr>
        <a:bodyPr/>
        <a:lstStyle/>
        <a:p>
          <a:pPr>
            <a:defRPr sz="800" b="0" strike="noStrike" spc="-1">
              <a:solidFill>
                <a:srgbClr val="36573B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000" b="1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Payback Period (Years)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Dashboard!$B$46</c:f>
              <c:strCache>
                <c:ptCount val="1"/>
                <c:pt idx="0">
                  <c:v>Payback (Global)</c:v>
                </c:pt>
              </c:strCache>
            </c:strRef>
          </c:tx>
          <c:spPr>
            <a:solidFill>
              <a:srgbClr val="36573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Dashboard!$A$47:$A$53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Dashboard!$B$47:$B$53</c:f>
              <c:numCache>
                <c:formatCode>0.0</c:formatCode>
                <c:ptCount val="7"/>
                <c:pt idx="0">
                  <c:v>0.46208968595722538</c:v>
                </c:pt>
                <c:pt idx="1">
                  <c:v>0.62262492051138685</c:v>
                </c:pt>
                <c:pt idx="2">
                  <c:v>1.0773651376314703</c:v>
                </c:pt>
                <c:pt idx="3">
                  <c:v>1.763090839026519</c:v>
                </c:pt>
                <c:pt idx="4">
                  <c:v>11.775602889653916</c:v>
                </c:pt>
                <c:pt idx="5">
                  <c:v>1.458833628374764</c:v>
                </c:pt>
                <c:pt idx="6">
                  <c:v>1.1694911476412366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C-4848-A0E4-BDA9D864836F}"/>
            </c:ext>
          </c:extLst>
        </c:ser>
        <c:ser>
          <c:idx val="1"/>
          <c:order val="1"/>
          <c:tx>
            <c:strRef>
              <c:f>Dashboard!$C$46</c:f>
              <c:strCache>
                <c:ptCount val="1"/>
                <c:pt idx="0">
                  <c:v>Payback (M6)</c:v>
                </c:pt>
              </c:strCache>
            </c:strRef>
          </c:tx>
          <c:spPr>
            <a:solidFill>
              <a:srgbClr val="00285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Dashboard!$A$47:$A$53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Dashboard!$C$47:$C$53</c:f>
              <c:numCache>
                <c:formatCode>0.0</c:formatCode>
                <c:ptCount val="7"/>
                <c:pt idx="0">
                  <c:v>0.50759938926182802</c:v>
                </c:pt>
                <c:pt idx="1">
                  <c:v>0.63186613263160718</c:v>
                </c:pt>
                <c:pt idx="2">
                  <c:v>1.0903668029131304</c:v>
                </c:pt>
                <c:pt idx="3">
                  <c:v>1.7688509699216968</c:v>
                </c:pt>
                <c:pt idx="4">
                  <c:v>11.775602889653916</c:v>
                </c:pt>
                <c:pt idx="5">
                  <c:v>3.3354511824495248</c:v>
                </c:pt>
                <c:pt idx="6">
                  <c:v>8.504294329115508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6C-4848-A0E4-BDA9D864836F}"/>
            </c:ext>
          </c:extLst>
        </c:ser>
        <c:ser>
          <c:idx val="2"/>
          <c:order val="2"/>
          <c:tx>
            <c:strRef>
              <c:f>Dashboard!$D$46</c:f>
              <c:strCache>
                <c:ptCount val="1"/>
                <c:pt idx="0">
                  <c:v>Payback (Specific)</c:v>
                </c:pt>
              </c:strCache>
            </c:strRef>
          </c:tx>
          <c:spPr>
            <a:solidFill>
              <a:srgbClr val="C8A96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Dashboard!$A$47:$A$53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Dashboard!$D$47:$D$53</c:f>
              <c:numCache>
                <c:formatCode>0.0</c:formatCode>
                <c:ptCount val="7"/>
                <c:pt idx="0">
                  <c:v>0.7780938218445016</c:v>
                </c:pt>
                <c:pt idx="1">
                  <c:v>0.74255202104576756</c:v>
                </c:pt>
                <c:pt idx="2">
                  <c:v>1.2990136829552013</c:v>
                </c:pt>
                <c:pt idx="3">
                  <c:v>1.9768964529901458</c:v>
                </c:pt>
                <c:pt idx="4">
                  <c:v>11.876920270078999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6C-4848-A0E4-BDA9D864836F}"/>
            </c:ext>
          </c:extLst>
        </c:ser>
        <c:ser>
          <c:idx val="3"/>
          <c:order val="3"/>
          <c:tx>
            <c:strRef>
              <c:f>Dashboard!$H$46</c:f>
              <c:strCache>
                <c:ptCount val="1"/>
                <c:pt idx="0">
                  <c:v>Payback (Simple)</c:v>
                </c:pt>
              </c:strCache>
            </c:strRef>
          </c:tx>
          <c:spPr>
            <a:solidFill>
              <a:srgbClr val="AFA9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Dashboard!$A$47:$A$53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Dashboard!$H$47:$H$53</c:f>
              <c:numCache>
                <c:formatCode>0.00</c:formatCode>
                <c:ptCount val="7"/>
                <c:pt idx="0">
                  <c:v>0.45491020374123869</c:v>
                </c:pt>
                <c:pt idx="1">
                  <c:v>0.62262492051138685</c:v>
                </c:pt>
                <c:pt idx="2">
                  <c:v>1.0773651376314703</c:v>
                </c:pt>
                <c:pt idx="3">
                  <c:v>1.7542100612769331</c:v>
                </c:pt>
                <c:pt idx="4">
                  <c:v>11.775602889653916</c:v>
                </c:pt>
                <c:pt idx="5">
                  <c:v>1.223421154980052</c:v>
                </c:pt>
                <c:pt idx="6">
                  <c:v>0.90155126558562293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6C-4848-A0E4-BDA9D8648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734459"/>
        <c:axId val="82456818"/>
      </c:barChart>
      <c:catAx>
        <c:axId val="7373445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800" b="0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2456818"/>
        <c:crosses val="autoZero"/>
        <c:auto val="1"/>
        <c:lblAlgn val="ctr"/>
        <c:lblOffset val="100"/>
        <c:noMultiLvlLbl val="0"/>
      </c:catAx>
      <c:valAx>
        <c:axId val="8245681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800" b="0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3734459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1"/>
          <c:y val="0"/>
        </c:manualLayout>
      </c:layout>
      <c:overlay val="1"/>
      <c:spPr>
        <a:noFill/>
        <a:ln w="0">
          <a:noFill/>
        </a:ln>
      </c:spPr>
      <c:txPr>
        <a:bodyPr/>
        <a:lstStyle/>
        <a:p>
          <a:pPr>
            <a:defRPr sz="800" b="0" strike="noStrike" spc="-1">
              <a:solidFill>
                <a:srgbClr val="36573B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000" b="1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Standard Switching: Cost by Loading Strategy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'Standard Switching'!$B$21</c:f>
              <c:strCache>
                <c:ptCount val="1"/>
                <c:pt idx="0">
                  <c:v>Swap Cost</c:v>
                </c:pt>
              </c:strCache>
            </c:strRef>
          </c:tx>
          <c:spPr>
            <a:solidFill>
              <a:srgbClr val="C0392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'Standard Switching'!$A$22:$A$25</c:f>
              <c:strCache>
                <c:ptCount val="4"/>
                <c:pt idx="0">
                  <c:v>5% (UPC)</c:v>
                </c:pt>
                <c:pt idx="1">
                  <c:v>10% (PC)</c:v>
                </c:pt>
                <c:pt idx="2">
                  <c:v>20% (Commercial)</c:v>
                </c:pt>
                <c:pt idx="3">
                  <c:v>Deadweight</c:v>
                </c:pt>
              </c:strCache>
            </c:strRef>
          </c:cat>
          <c:val>
            <c:numRef>
              <c:f>'Standard Switching'!$B$22:$B$25</c:f>
              <c:numCache>
                <c:formatCode>\$#,##0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2-4652-B7B6-BEA97D125A75}"/>
            </c:ext>
          </c:extLst>
        </c:ser>
        <c:ser>
          <c:idx val="1"/>
          <c:order val="1"/>
          <c:tx>
            <c:strRef>
              <c:f>'Standard Switching'!$C$21</c:f>
              <c:strCache>
                <c:ptCount val="1"/>
                <c:pt idx="0">
                  <c:v>Cal Cost</c:v>
                </c:pt>
              </c:strCache>
            </c:strRef>
          </c:tx>
          <c:spPr>
            <a:solidFill>
              <a:srgbClr val="00285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'Standard Switching'!$A$22:$A$25</c:f>
              <c:strCache>
                <c:ptCount val="4"/>
                <c:pt idx="0">
                  <c:v>5% (UPC)</c:v>
                </c:pt>
                <c:pt idx="1">
                  <c:v>10% (PC)</c:v>
                </c:pt>
                <c:pt idx="2">
                  <c:v>20% (Commercial)</c:v>
                </c:pt>
                <c:pt idx="3">
                  <c:v>Deadweight</c:v>
                </c:pt>
              </c:strCache>
            </c:strRef>
          </c:cat>
          <c:val>
            <c:numRef>
              <c:f>'Standard Switching'!$C$22:$C$25</c:f>
              <c:numCache>
                <c:formatCode>\$#,##0</c:formatCode>
                <c:ptCount val="4"/>
                <c:pt idx="0">
                  <c:v>2000</c:v>
                </c:pt>
                <c:pt idx="1">
                  <c:v>4000</c:v>
                </c:pt>
                <c:pt idx="2">
                  <c:v>6000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2-4652-B7B6-BEA97D125A75}"/>
            </c:ext>
          </c:extLst>
        </c:ser>
        <c:ser>
          <c:idx val="2"/>
          <c:order val="2"/>
          <c:tx>
            <c:strRef>
              <c:f>'Standard Switching'!$D$21</c:f>
              <c:strCache>
                <c:ptCount val="1"/>
                <c:pt idx="0">
                  <c:v>Rework (M6)</c:v>
                </c:pt>
              </c:strCache>
            </c:strRef>
          </c:tx>
          <c:spPr>
            <a:solidFill>
              <a:srgbClr val="C8A96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'Standard Switching'!$A$22:$A$25</c:f>
              <c:strCache>
                <c:ptCount val="4"/>
                <c:pt idx="0">
                  <c:v>5% (UPC)</c:v>
                </c:pt>
                <c:pt idx="1">
                  <c:v>10% (PC)</c:v>
                </c:pt>
                <c:pt idx="2">
                  <c:v>20% (Commercial)</c:v>
                </c:pt>
                <c:pt idx="3">
                  <c:v>Deadweight</c:v>
                </c:pt>
              </c:strCache>
            </c:strRef>
          </c:cat>
          <c:val>
            <c:numRef>
              <c:f>'Standard Switching'!$D$22:$D$25</c:f>
              <c:numCache>
                <c:formatCode>\$#,##0</c:formatCode>
                <c:ptCount val="4"/>
                <c:pt idx="0">
                  <c:v>2662.8332501783379</c:v>
                </c:pt>
                <c:pt idx="1">
                  <c:v>1466.1247892315043</c:v>
                </c:pt>
                <c:pt idx="2">
                  <c:v>994.28431780426058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42-4652-B7B6-BEA97D125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44154"/>
        <c:axId val="90159382"/>
      </c:barChart>
      <c:catAx>
        <c:axId val="714441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800" b="0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159382"/>
        <c:crosses val="autoZero"/>
        <c:auto val="1"/>
        <c:lblAlgn val="ctr"/>
        <c:lblOffset val="100"/>
        <c:noMultiLvlLbl val="0"/>
      </c:catAx>
      <c:valAx>
        <c:axId val="9015938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\$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800" b="0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444154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1"/>
          <c:y val="0"/>
        </c:manualLayout>
      </c:layout>
      <c:overlay val="1"/>
      <c:spPr>
        <a:noFill/>
        <a:ln w="0">
          <a:noFill/>
        </a:ln>
      </c:spPr>
      <c:txPr>
        <a:bodyPr/>
        <a:lstStyle/>
        <a:p>
          <a:pPr>
            <a:defRPr sz="800" b="0" strike="noStrike" spc="-1">
              <a:solidFill>
                <a:srgbClr val="36573B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Calibrations to Break Even (capped at 10,000)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36573B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'Graphs Summary'!$B$62</c:f>
              <c:strCache>
                <c:ptCount val="1"/>
                <c:pt idx="0">
                  <c:v>Global</c:v>
                </c:pt>
              </c:strCache>
            </c:strRef>
          </c:tx>
          <c:spPr>
            <a:solidFill>
              <a:srgbClr val="002855"/>
            </a:solidFill>
            <a:ln>
              <a:noFill/>
            </a:ln>
            <a:effectLst/>
          </c:spPr>
          <c:invertIfNegative val="0"/>
          <c:cat>
            <c:strRef>
              <c:f>'Graphs Summary'!$A$63:$A$69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'Graphs Summary'!$B$63:$B$69</c:f>
              <c:numCache>
                <c:formatCode>General</c:formatCode>
                <c:ptCount val="7"/>
                <c:pt idx="0">
                  <c:v>231.04484297861273</c:v>
                </c:pt>
                <c:pt idx="1">
                  <c:v>311.31246025569345</c:v>
                </c:pt>
                <c:pt idx="2">
                  <c:v>538.68256881573518</c:v>
                </c:pt>
                <c:pt idx="3">
                  <c:v>881.54541951325939</c:v>
                </c:pt>
                <c:pt idx="4">
                  <c:v>5887.8014448269578</c:v>
                </c:pt>
                <c:pt idx="5">
                  <c:v>729.41681418738176</c:v>
                </c:pt>
                <c:pt idx="6">
                  <c:v>584.74557382061835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E-4778-A28F-62CCF81AADE1}"/>
            </c:ext>
          </c:extLst>
        </c:ser>
        <c:ser>
          <c:idx val="1"/>
          <c:order val="1"/>
          <c:tx>
            <c:strRef>
              <c:f>'Graphs Summary'!$C$62</c:f>
              <c:strCache>
                <c:ptCount val="1"/>
                <c:pt idx="0">
                  <c:v>Method 6</c:v>
                </c:pt>
              </c:strCache>
            </c:strRef>
          </c:tx>
          <c:spPr>
            <a:solidFill>
              <a:srgbClr val="36573B"/>
            </a:solidFill>
            <a:ln>
              <a:noFill/>
            </a:ln>
            <a:effectLst/>
          </c:spPr>
          <c:invertIfNegative val="0"/>
          <c:cat>
            <c:strRef>
              <c:f>'Graphs Summary'!$A$63:$A$69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'Graphs Summary'!$C$63:$C$69</c:f>
              <c:numCache>
                <c:formatCode>General</c:formatCode>
                <c:ptCount val="7"/>
                <c:pt idx="0">
                  <c:v>253.79969463091402</c:v>
                </c:pt>
                <c:pt idx="1">
                  <c:v>315.93306631580361</c:v>
                </c:pt>
                <c:pt idx="2">
                  <c:v>545.18340145656532</c:v>
                </c:pt>
                <c:pt idx="3">
                  <c:v>884.42548496084839</c:v>
                </c:pt>
                <c:pt idx="4">
                  <c:v>5887.8014448269578</c:v>
                </c:pt>
                <c:pt idx="5">
                  <c:v>1667.7255912247626</c:v>
                </c:pt>
                <c:pt idx="6">
                  <c:v>4252.147164557754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0E-4778-A28F-62CCF81AADE1}"/>
            </c:ext>
          </c:extLst>
        </c:ser>
        <c:ser>
          <c:idx val="2"/>
          <c:order val="2"/>
          <c:tx>
            <c:strRef>
              <c:f>'Graphs Summary'!$D$62</c:f>
              <c:strCache>
                <c:ptCount val="1"/>
                <c:pt idx="0">
                  <c:v>Specific Risk</c:v>
                </c:pt>
              </c:strCache>
            </c:strRef>
          </c:tx>
          <c:spPr>
            <a:solidFill>
              <a:srgbClr val="C0392B"/>
            </a:solidFill>
            <a:ln>
              <a:noFill/>
            </a:ln>
            <a:effectLst/>
          </c:spPr>
          <c:invertIfNegative val="0"/>
          <c:cat>
            <c:strRef>
              <c:f>'Graphs Summary'!$A$63:$A$69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'Graphs Summary'!$D$63:$D$69</c:f>
              <c:numCache>
                <c:formatCode>General</c:formatCode>
                <c:ptCount val="7"/>
                <c:pt idx="0">
                  <c:v>389.0469109222509</c:v>
                </c:pt>
                <c:pt idx="1">
                  <c:v>371.27601052288372</c:v>
                </c:pt>
                <c:pt idx="2">
                  <c:v>649.50684147760069</c:v>
                </c:pt>
                <c:pt idx="3">
                  <c:v>988.44822649507273</c:v>
                </c:pt>
                <c:pt idx="4">
                  <c:v>5938.4601350394951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0E-4778-A28F-62CCF81A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1967456"/>
        <c:axId val="1661967936"/>
      </c:barChart>
      <c:catAx>
        <c:axId val="166196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1967936"/>
        <c:crosses val="autoZero"/>
        <c:auto val="1"/>
        <c:lblAlgn val="ctr"/>
        <c:lblOffset val="100"/>
        <c:noMultiLvlLbl val="0"/>
      </c:catAx>
      <c:valAx>
        <c:axId val="1661967936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rgbClr val="E0E0E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Calibrations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196745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36573B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000" b="1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Annual Rework Cost by Decision Rule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Dashboard!$B$36</c:f>
              <c:strCache>
                <c:ptCount val="1"/>
                <c:pt idx="0">
                  <c:v>Global (PFA≤2%)</c:v>
                </c:pt>
              </c:strCache>
            </c:strRef>
          </c:tx>
          <c:spPr>
            <a:solidFill>
              <a:srgbClr val="36573B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Dashboard!$A$37:$A$43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 1</c:v>
                </c:pt>
                <c:pt idx="6">
                  <c:v>Competitor 2</c:v>
                </c:pt>
              </c:strCache>
            </c:strRef>
          </c:cat>
          <c:val>
            <c:numRef>
              <c:f>Dashboard!$B$37:$B$43</c:f>
              <c:numCache>
                <c:formatCode>\$#,##0</c:formatCode>
                <c:ptCount val="7"/>
                <c:pt idx="0">
                  <c:v>3718.7429508737232</c:v>
                </c:pt>
                <c:pt idx="1">
                  <c:v>1786.3810988273713</c:v>
                </c:pt>
                <c:pt idx="2">
                  <c:v>1590.4789810422815</c:v>
                </c:pt>
                <c:pt idx="3">
                  <c:v>994.28431780426058</c:v>
                </c:pt>
                <c:pt idx="4">
                  <c:v>277.53030738569646</c:v>
                </c:pt>
                <c:pt idx="5">
                  <c:v>3718.7429508737232</c:v>
                </c:pt>
                <c:pt idx="6">
                  <c:v>3632.0294509074747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60-4950-99DC-8EABE822E5D1}"/>
            </c:ext>
          </c:extLst>
        </c:ser>
        <c:ser>
          <c:idx val="1"/>
          <c:order val="1"/>
          <c:tx>
            <c:strRef>
              <c:f>Dashboard!$C$36</c:f>
              <c:strCache>
                <c:ptCount val="1"/>
                <c:pt idx="0">
                  <c:v>Method 6</c:v>
                </c:pt>
              </c:strCache>
            </c:strRef>
          </c:tx>
          <c:spPr>
            <a:solidFill>
              <a:srgbClr val="002855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Dashboard!$A$37:$A$43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 1</c:v>
                </c:pt>
                <c:pt idx="6">
                  <c:v>Competitor 2</c:v>
                </c:pt>
              </c:strCache>
            </c:strRef>
          </c:cat>
          <c:val>
            <c:numRef>
              <c:f>Dashboard!$C$37:$C$43</c:f>
              <c:numCache>
                <c:formatCode>\$#,##0</c:formatCode>
                <c:ptCount val="7"/>
                <c:pt idx="0">
                  <c:v>6066.4960598980952</c:v>
                </c:pt>
                <c:pt idx="1">
                  <c:v>2608.5203930278913</c:v>
                </c:pt>
                <c:pt idx="2">
                  <c:v>2143.8717077453948</c:v>
                </c:pt>
                <c:pt idx="3">
                  <c:v>994.28431780426058</c:v>
                </c:pt>
                <c:pt idx="4">
                  <c:v>277.53030738569646</c:v>
                </c:pt>
                <c:pt idx="5">
                  <c:v>6066.4960598980952</c:v>
                </c:pt>
                <c:pt idx="6">
                  <c:v>8613.9616266611283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60-4950-99DC-8EABE822E5D1}"/>
            </c:ext>
          </c:extLst>
        </c:ser>
        <c:ser>
          <c:idx val="2"/>
          <c:order val="2"/>
          <c:tx>
            <c:strRef>
              <c:f>Dashboard!$D$36</c:f>
              <c:strCache>
                <c:ptCount val="1"/>
                <c:pt idx="0">
                  <c:v>Specific Risk</c:v>
                </c:pt>
              </c:strCache>
            </c:strRef>
          </c:tx>
          <c:spPr>
            <a:solidFill>
              <a:srgbClr val="C8A96E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Dashboard!$A$37:$A$43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 1</c:v>
                </c:pt>
                <c:pt idx="6">
                  <c:v>Competitor 2</c:v>
                </c:pt>
              </c:strCache>
            </c:strRef>
          </c:cat>
          <c:val>
            <c:numRef>
              <c:f>Dashboard!$D$37:$D$43</c:f>
              <c:numCache>
                <c:formatCode>\$#,##0</c:formatCode>
                <c:ptCount val="7"/>
                <c:pt idx="0">
                  <c:v>19822.357488144629</c:v>
                </c:pt>
                <c:pt idx="1">
                  <c:v>10865.255217125377</c:v>
                </c:pt>
                <c:pt idx="2">
                  <c:v>9509.2584042285671</c:v>
                </c:pt>
                <c:pt idx="3">
                  <c:v>5533.1424996735141</c:v>
                </c:pt>
                <c:pt idx="4">
                  <c:v>531.08111858428208</c:v>
                </c:pt>
                <c:pt idx="5">
                  <c:v>19822.357488144629</c:v>
                </c:pt>
                <c:pt idx="6">
                  <c:v>25856.904394803609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60-4950-99DC-8EABE822E5D1}"/>
            </c:ext>
          </c:extLst>
        </c:ser>
        <c:ser>
          <c:idx val="3"/>
          <c:order val="3"/>
          <c:tx>
            <c:strRef>
              <c:f>Dashboard!$H$36</c:f>
              <c:strCache>
                <c:ptCount val="1"/>
                <c:pt idx="0">
                  <c:v>Simple Accept</c:v>
                </c:pt>
              </c:strCache>
            </c:strRef>
          </c:tx>
          <c:spPr>
            <a:solidFill>
              <a:srgbClr val="AFA9A0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Dashboard!$A$37:$A$43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 1</c:v>
                </c:pt>
                <c:pt idx="6">
                  <c:v>Competitor 2</c:v>
                </c:pt>
              </c:strCache>
            </c:strRef>
          </c:cat>
          <c:val>
            <c:numRef>
              <c:f>Dashboard!$H$37:$H$43</c:f>
              <c:numCache>
                <c:formatCode>\$#,##0</c:formatCode>
                <c:ptCount val="7"/>
                <c:pt idx="0">
                  <c:v>3044.099265312449</c:v>
                </c:pt>
                <c:pt idx="1">
                  <c:v>1786.3810988273713</c:v>
                </c:pt>
                <c:pt idx="2">
                  <c:v>1590.4789810422815</c:v>
                </c:pt>
                <c:pt idx="3">
                  <c:v>994.28431780426058</c:v>
                </c:pt>
                <c:pt idx="4">
                  <c:v>277.53030738569646</c:v>
                </c:pt>
                <c:pt idx="5">
                  <c:v>3044.099265312449</c:v>
                </c:pt>
                <c:pt idx="6">
                  <c:v>3632.0294509074747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60-4950-99DC-8EABE822E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255332"/>
        <c:axId val="51188621"/>
      </c:barChart>
      <c:catAx>
        <c:axId val="962553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800" b="0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1188621"/>
        <c:crosses val="autoZero"/>
        <c:auto val="1"/>
        <c:lblAlgn val="ctr"/>
        <c:lblOffset val="100"/>
        <c:noMultiLvlLbl val="0"/>
      </c:catAx>
      <c:valAx>
        <c:axId val="5118862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\$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800" b="0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255332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1"/>
          <c:y val="0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800" b="0" strike="noStrike" spc="-1">
              <a:solidFill>
                <a:srgbClr val="36573B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000" b="1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Annual Profit by Machine — No Bar = Not Profitable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Dashboard!$B$56</c:f>
              <c:strCache>
                <c:ptCount val="1"/>
                <c:pt idx="0">
                  <c:v>Profit (Global)</c:v>
                </c:pt>
              </c:strCache>
            </c:strRef>
          </c:tx>
          <c:spPr>
            <a:solidFill>
              <a:srgbClr val="36573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Dashboard!$A$57:$A$63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Dashboard!$B$57:$B$63</c:f>
              <c:numCache>
                <c:formatCode>\$#,##0</c:formatCode>
                <c:ptCount val="7"/>
                <c:pt idx="0">
                  <c:v>54102.051527534408</c:v>
                </c:pt>
                <c:pt idx="1">
                  <c:v>56213.618901172624</c:v>
                </c:pt>
                <c:pt idx="2">
                  <c:v>46409.521018957719</c:v>
                </c:pt>
                <c:pt idx="3">
                  <c:v>56718.575008429209</c:v>
                </c:pt>
                <c:pt idx="4">
                  <c:v>29722.469692614308</c:v>
                </c:pt>
                <c:pt idx="5">
                  <c:v>37701.35190897237</c:v>
                </c:pt>
                <c:pt idx="6">
                  <c:v>34202.909599338629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7-4316-8674-F851B2300AB2}"/>
            </c:ext>
          </c:extLst>
        </c:ser>
        <c:ser>
          <c:idx val="1"/>
          <c:order val="1"/>
          <c:tx>
            <c:strRef>
              <c:f>Dashboard!$C$56</c:f>
              <c:strCache>
                <c:ptCount val="1"/>
                <c:pt idx="0">
                  <c:v>Profit (M6)</c:v>
                </c:pt>
              </c:strCache>
            </c:strRef>
          </c:tx>
          <c:spPr>
            <a:solidFill>
              <a:srgbClr val="00285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Dashboard!$A$57:$A$63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Dashboard!$C$57:$C$63</c:f>
              <c:numCache>
                <c:formatCode>\$#,##0</c:formatCode>
                <c:ptCount val="7"/>
                <c:pt idx="0">
                  <c:v>49251.438297347107</c:v>
                </c:pt>
                <c:pt idx="1">
                  <c:v>55391.479606972105</c:v>
                </c:pt>
                <c:pt idx="2">
                  <c:v>45856.128292254609</c:v>
                </c:pt>
                <c:pt idx="3">
                  <c:v>56533.875210768485</c:v>
                </c:pt>
                <c:pt idx="4">
                  <c:v>29722.469692614308</c:v>
                </c:pt>
                <c:pt idx="5">
                  <c:v>16489.52330329371</c:v>
                </c:pt>
                <c:pt idx="6">
                  <c:v>4703.5060702279588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F7-4316-8674-F851B2300AB2}"/>
            </c:ext>
          </c:extLst>
        </c:ser>
        <c:ser>
          <c:idx val="2"/>
          <c:order val="2"/>
          <c:tx>
            <c:strRef>
              <c:f>Dashboard!$D$56</c:f>
              <c:strCache>
                <c:ptCount val="1"/>
                <c:pt idx="0">
                  <c:v>Profit (Specific)</c:v>
                </c:pt>
              </c:strCache>
            </c:strRef>
          </c:tx>
          <c:spPr>
            <a:solidFill>
              <a:srgbClr val="C8A96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Dashboard!$A$57:$A$63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Dashboard!$D$57:$D$63</c:f>
              <c:numCache>
                <c:formatCode>\$#,##0</c:formatCode>
                <c:ptCount val="7"/>
                <c:pt idx="0">
                  <c:v>32129.801443142846</c:v>
                </c:pt>
                <c:pt idx="1">
                  <c:v>47134.744782874623</c:v>
                </c:pt>
                <c:pt idx="2">
                  <c:v>38490.741595771426</c:v>
                </c:pt>
                <c:pt idx="3">
                  <c:v>50584.338825002924</c:v>
                </c:pt>
                <c:pt idx="4">
                  <c:v>29468.91888141571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F7-4316-8674-F851B2300AB2}"/>
            </c:ext>
          </c:extLst>
        </c:ser>
        <c:ser>
          <c:idx val="3"/>
          <c:order val="3"/>
          <c:tx>
            <c:strRef>
              <c:f>Dashboard!$H$56</c:f>
              <c:strCache>
                <c:ptCount val="1"/>
                <c:pt idx="0">
                  <c:v>Profit (Simple)</c:v>
                </c:pt>
              </c:strCache>
            </c:strRef>
          </c:tx>
          <c:spPr>
            <a:solidFill>
              <a:srgbClr val="AFA9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Dashboard!$A$57:$A$63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Dashboard!$H$57:$H$63</c:f>
              <c:numCache>
                <c:formatCode>\$#,##0</c:formatCode>
                <c:ptCount val="7"/>
                <c:pt idx="0">
                  <c:v>54955.900734687544</c:v>
                </c:pt>
                <c:pt idx="1">
                  <c:v>56213.618901172624</c:v>
                </c:pt>
                <c:pt idx="2">
                  <c:v>46409.521018957719</c:v>
                </c:pt>
                <c:pt idx="3">
                  <c:v>57005.715682195732</c:v>
                </c:pt>
                <c:pt idx="4">
                  <c:v>29722.469692614308</c:v>
                </c:pt>
                <c:pt idx="5">
                  <c:v>44955.900734687544</c:v>
                </c:pt>
                <c:pt idx="6">
                  <c:v>44367.970549092512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F7-4316-8674-F851B2300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2200"/>
        <c:axId val="71990782"/>
      </c:barChart>
      <c:catAx>
        <c:axId val="13682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800" b="0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990782"/>
        <c:crosses val="autoZero"/>
        <c:auto val="1"/>
        <c:lblAlgn val="ctr"/>
        <c:lblOffset val="100"/>
        <c:noMultiLvlLbl val="0"/>
      </c:catAx>
      <c:valAx>
        <c:axId val="7199078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\$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800" b="0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682200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1"/>
          <c:y val="0"/>
        </c:manualLayout>
      </c:layout>
      <c:overlay val="1"/>
      <c:spPr>
        <a:noFill/>
        <a:ln w="0">
          <a:noFill/>
        </a:ln>
      </c:spPr>
      <c:txPr>
        <a:bodyPr/>
        <a:lstStyle/>
        <a:p>
          <a:pPr>
            <a:defRPr sz="800" b="0" strike="noStrike" spc="-1">
              <a:solidFill>
                <a:srgbClr val="36573B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000" b="1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Payback Period (Years) — Over 20yr Not Shown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Dashboard!$B$46</c:f>
              <c:strCache>
                <c:ptCount val="1"/>
                <c:pt idx="0">
                  <c:v>Payback (Global)</c:v>
                </c:pt>
              </c:strCache>
            </c:strRef>
          </c:tx>
          <c:spPr>
            <a:solidFill>
              <a:srgbClr val="36573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Dashboard!$A$47:$A$53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Dashboard!$B$47:$B$53</c:f>
              <c:numCache>
                <c:formatCode>0.0</c:formatCode>
                <c:ptCount val="7"/>
                <c:pt idx="0">
                  <c:v>0.46208968595722538</c:v>
                </c:pt>
                <c:pt idx="1">
                  <c:v>0.62262492051138685</c:v>
                </c:pt>
                <c:pt idx="2">
                  <c:v>1.0773651376314703</c:v>
                </c:pt>
                <c:pt idx="3">
                  <c:v>1.763090839026519</c:v>
                </c:pt>
                <c:pt idx="4">
                  <c:v>11.775602889653916</c:v>
                </c:pt>
                <c:pt idx="5">
                  <c:v>1.458833628374764</c:v>
                </c:pt>
                <c:pt idx="6">
                  <c:v>1.1694911476412366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39-40FE-9106-FEB585AFA815}"/>
            </c:ext>
          </c:extLst>
        </c:ser>
        <c:ser>
          <c:idx val="1"/>
          <c:order val="1"/>
          <c:tx>
            <c:strRef>
              <c:f>Dashboard!$C$46</c:f>
              <c:strCache>
                <c:ptCount val="1"/>
                <c:pt idx="0">
                  <c:v>Payback (M6)</c:v>
                </c:pt>
              </c:strCache>
            </c:strRef>
          </c:tx>
          <c:spPr>
            <a:solidFill>
              <a:srgbClr val="00285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Dashboard!$A$47:$A$53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Dashboard!$C$47:$C$53</c:f>
              <c:numCache>
                <c:formatCode>0.0</c:formatCode>
                <c:ptCount val="7"/>
                <c:pt idx="0">
                  <c:v>0.50759938926182802</c:v>
                </c:pt>
                <c:pt idx="1">
                  <c:v>0.63186613263160718</c:v>
                </c:pt>
                <c:pt idx="2">
                  <c:v>1.0903668029131304</c:v>
                </c:pt>
                <c:pt idx="3">
                  <c:v>1.7688509699216968</c:v>
                </c:pt>
                <c:pt idx="4">
                  <c:v>11.775602889653916</c:v>
                </c:pt>
                <c:pt idx="5">
                  <c:v>3.3354511824495248</c:v>
                </c:pt>
                <c:pt idx="6">
                  <c:v>8.504294329115508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39-40FE-9106-FEB585AFA815}"/>
            </c:ext>
          </c:extLst>
        </c:ser>
        <c:ser>
          <c:idx val="2"/>
          <c:order val="2"/>
          <c:tx>
            <c:strRef>
              <c:f>Dashboard!$D$46</c:f>
              <c:strCache>
                <c:ptCount val="1"/>
                <c:pt idx="0">
                  <c:v>Payback (Specific)</c:v>
                </c:pt>
              </c:strCache>
            </c:strRef>
          </c:tx>
          <c:spPr>
            <a:solidFill>
              <a:srgbClr val="C8A96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Dashboard!$A$47:$A$53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Dashboard!$D$47:$D$53</c:f>
              <c:numCache>
                <c:formatCode>0.0</c:formatCode>
                <c:ptCount val="7"/>
                <c:pt idx="0">
                  <c:v>0.7780938218445016</c:v>
                </c:pt>
                <c:pt idx="1">
                  <c:v>0.74255202104576756</c:v>
                </c:pt>
                <c:pt idx="2">
                  <c:v>1.2990136829552013</c:v>
                </c:pt>
                <c:pt idx="3">
                  <c:v>1.9768964529901458</c:v>
                </c:pt>
                <c:pt idx="4">
                  <c:v>11.876920270078999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39-40FE-9106-FEB585AFA815}"/>
            </c:ext>
          </c:extLst>
        </c:ser>
        <c:ser>
          <c:idx val="3"/>
          <c:order val="3"/>
          <c:tx>
            <c:strRef>
              <c:f>Dashboard!$H$46</c:f>
              <c:strCache>
                <c:ptCount val="1"/>
                <c:pt idx="0">
                  <c:v>Payback (Simple)</c:v>
                </c:pt>
              </c:strCache>
            </c:strRef>
          </c:tx>
          <c:spPr>
            <a:solidFill>
              <a:srgbClr val="AFA9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Dashboard!$A$47:$A$53</c:f>
              <c:strCache>
                <c:ptCount val="7"/>
                <c:pt idx="0">
                  <c:v>BCM</c:v>
                </c:pt>
                <c:pt idx="1">
                  <c:v>PCM</c:v>
                </c:pt>
                <c:pt idx="2">
                  <c:v>UCM Manual</c:v>
                </c:pt>
                <c:pt idx="3">
                  <c:v>UCM Automated</c:v>
                </c:pt>
                <c:pt idx="4">
                  <c:v>Deadweight</c:v>
                </c:pt>
                <c:pt idx="5">
                  <c:v>Competitor</c:v>
                </c:pt>
                <c:pt idx="6">
                  <c:v>Competitor 2</c:v>
                </c:pt>
              </c:strCache>
            </c:strRef>
          </c:cat>
          <c:val>
            <c:numRef>
              <c:f>Dashboard!$H$47:$H$53</c:f>
              <c:numCache>
                <c:formatCode>0.00</c:formatCode>
                <c:ptCount val="7"/>
                <c:pt idx="0">
                  <c:v>0.45491020374123869</c:v>
                </c:pt>
                <c:pt idx="1">
                  <c:v>0.62262492051138685</c:v>
                </c:pt>
                <c:pt idx="2">
                  <c:v>1.0773651376314703</c:v>
                </c:pt>
                <c:pt idx="3">
                  <c:v>1.7542100612769331</c:v>
                </c:pt>
                <c:pt idx="4">
                  <c:v>11.775602889653916</c:v>
                </c:pt>
                <c:pt idx="5">
                  <c:v>1.223421154980052</c:v>
                </c:pt>
                <c:pt idx="6">
                  <c:v>0.90155126558562293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39-40FE-9106-FEB585AFA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7097"/>
        <c:axId val="73093112"/>
      </c:barChart>
      <c:catAx>
        <c:axId val="427709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800" b="0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3093112"/>
        <c:crosses val="autoZero"/>
        <c:auto val="1"/>
        <c:lblAlgn val="ctr"/>
        <c:lblOffset val="100"/>
        <c:noMultiLvlLbl val="0"/>
      </c:catAx>
      <c:valAx>
        <c:axId val="7309311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800" b="0" strike="noStrike" spc="-1">
                <a:solidFill>
                  <a:srgbClr val="36573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277097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1"/>
          <c:y val="0"/>
        </c:manualLayout>
      </c:layout>
      <c:overlay val="1"/>
      <c:spPr>
        <a:noFill/>
        <a:ln w="0">
          <a:noFill/>
        </a:ln>
      </c:spPr>
      <c:txPr>
        <a:bodyPr/>
        <a:lstStyle/>
        <a:p>
          <a:pPr>
            <a:defRPr sz="800" b="0" strike="noStrike" spc="-1">
              <a:solidFill>
                <a:srgbClr val="36573B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tmp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1790700</xdr:colOff>
      <xdr:row>2</xdr:row>
      <xdr:rowOff>55181</xdr:rowOff>
    </xdr:to>
    <xdr:pic>
      <xdr:nvPicPr>
        <xdr:cNvPr id="2" name="MorehouseLogo">
          <a:extLst>
            <a:ext uri="{FF2B5EF4-FFF2-40B4-BE49-F238E27FC236}">
              <a16:creationId xmlns:a16="http://schemas.microsoft.com/office/drawing/2014/main" id="{B96543E4-F884-AB75-0909-393109B6E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90700" cy="6552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6</xdr:col>
      <xdr:colOff>1800</xdr:colOff>
      <xdr:row>33</xdr:row>
      <xdr:rowOff>190080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12</xdr:row>
      <xdr:rowOff>0</xdr:rowOff>
    </xdr:from>
    <xdr:to>
      <xdr:col>13</xdr:col>
      <xdr:colOff>3840</xdr:colOff>
      <xdr:row>33</xdr:row>
      <xdr:rowOff>190080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37</xdr:row>
      <xdr:rowOff>0</xdr:rowOff>
    </xdr:from>
    <xdr:to>
      <xdr:col>6</xdr:col>
      <xdr:colOff>1800</xdr:colOff>
      <xdr:row>58</xdr:row>
      <xdr:rowOff>190080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0</xdr:colOff>
      <xdr:row>37</xdr:row>
      <xdr:rowOff>0</xdr:rowOff>
    </xdr:from>
    <xdr:to>
      <xdr:col>13</xdr:col>
      <xdr:colOff>3840</xdr:colOff>
      <xdr:row>58</xdr:row>
      <xdr:rowOff>190080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62</xdr:row>
      <xdr:rowOff>0</xdr:rowOff>
    </xdr:from>
    <xdr:to>
      <xdr:col>6</xdr:col>
      <xdr:colOff>1800</xdr:colOff>
      <xdr:row>80</xdr:row>
      <xdr:rowOff>190440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6350</xdr:colOff>
      <xdr:row>62</xdr:row>
      <xdr:rowOff>6350</xdr:rowOff>
    </xdr:from>
    <xdr:to>
      <xdr:col>13</xdr:col>
      <xdr:colOff>15875</xdr:colOff>
      <xdr:row>81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4403089-0595-CCE3-BF23-7D45CDB3C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782652</xdr:colOff>
      <xdr:row>0</xdr:row>
      <xdr:rowOff>628650</xdr:rowOff>
    </xdr:to>
    <xdr:pic>
      <xdr:nvPicPr>
        <xdr:cNvPr id="9" name="MorehouseLogo">
          <a:extLst>
            <a:ext uri="{FF2B5EF4-FFF2-40B4-BE49-F238E27FC236}">
              <a16:creationId xmlns:a16="http://schemas.microsoft.com/office/drawing/2014/main" id="{1C9A0134-38BD-42B2-A7C3-E42750F2B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28575"/>
          <a:ext cx="1639902" cy="600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142920</xdr:colOff>
      <xdr:row>0</xdr:row>
      <xdr:rowOff>0</xdr:rowOff>
    </xdr:from>
    <xdr:to>
      <xdr:col>2</xdr:col>
      <xdr:colOff>1311120</xdr:colOff>
      <xdr:row>4</xdr:row>
      <xdr:rowOff>444600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920" y="0"/>
          <a:ext cx="3353400" cy="1206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762120</xdr:colOff>
      <xdr:row>0</xdr:row>
      <xdr:rowOff>0</xdr:rowOff>
    </xdr:from>
    <xdr:to>
      <xdr:col>11</xdr:col>
      <xdr:colOff>695250</xdr:colOff>
      <xdr:row>21</xdr:row>
      <xdr:rowOff>102360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704775</xdr:colOff>
      <xdr:row>0</xdr:row>
      <xdr:rowOff>0</xdr:rowOff>
    </xdr:from>
    <xdr:to>
      <xdr:col>20</xdr:col>
      <xdr:colOff>689265</xdr:colOff>
      <xdr:row>21</xdr:row>
      <xdr:rowOff>92640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20</xdr:col>
      <xdr:colOff>695385</xdr:colOff>
      <xdr:row>0</xdr:row>
      <xdr:rowOff>0</xdr:rowOff>
    </xdr:from>
    <xdr:to>
      <xdr:col>33</xdr:col>
      <xdr:colOff>76155</xdr:colOff>
      <xdr:row>21</xdr:row>
      <xdr:rowOff>83280</xdr:rowOff>
    </xdr:to>
    <xdr:graphicFrame macro="">
      <xdr:nvGraphicFramePr>
        <xdr:cNvPr id="8" name="Chart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1851840</xdr:colOff>
      <xdr:row>1</xdr:row>
      <xdr:rowOff>489960</xdr:rowOff>
    </xdr:to>
    <xdr:pic>
      <xdr:nvPicPr>
        <xdr:cNvPr id="9" name="Image 3" descr="Pictur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0"/>
          <a:ext cx="1851840" cy="680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66600</xdr:colOff>
      <xdr:row>0</xdr:row>
      <xdr:rowOff>9360</xdr:rowOff>
    </xdr:from>
    <xdr:to>
      <xdr:col>15</xdr:col>
      <xdr:colOff>618480</xdr:colOff>
      <xdr:row>21</xdr:row>
      <xdr:rowOff>72237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85680</xdr:colOff>
      <xdr:row>32</xdr:row>
      <xdr:rowOff>85680</xdr:rowOff>
    </xdr:from>
    <xdr:to>
      <xdr:col>21</xdr:col>
      <xdr:colOff>758879</xdr:colOff>
      <xdr:row>59</xdr:row>
      <xdr:rowOff>138240</xdr:rowOff>
    </xdr:to>
    <xdr:graphicFrame macro="">
      <xdr:nvGraphicFramePr>
        <xdr:cNvPr id="11" name="Chart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0</xdr:colOff>
      <xdr:row>59</xdr:row>
      <xdr:rowOff>0</xdr:rowOff>
    </xdr:from>
    <xdr:to>
      <xdr:col>21</xdr:col>
      <xdr:colOff>133199</xdr:colOff>
      <xdr:row>81</xdr:row>
      <xdr:rowOff>125640</xdr:rowOff>
    </xdr:to>
    <xdr:graphicFrame macro="">
      <xdr:nvGraphicFramePr>
        <xdr:cNvPr id="12" name="Chart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0</xdr:row>
      <xdr:rowOff>555624</xdr:rowOff>
    </xdr:to>
    <xdr:pic>
      <xdr:nvPicPr>
        <xdr:cNvPr id="2" name="Image 3" descr="Picture">
          <a:extLst>
            <a:ext uri="{FF2B5EF4-FFF2-40B4-BE49-F238E27FC236}">
              <a16:creationId xmlns:a16="http://schemas.microsoft.com/office/drawing/2014/main" id="{5D1AA5FF-BB31-4324-BB83-459D0BDA785B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0"/>
          <a:ext cx="1619250" cy="555624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28440</xdr:colOff>
      <xdr:row>0</xdr:row>
      <xdr:rowOff>0</xdr:rowOff>
    </xdr:from>
    <xdr:to>
      <xdr:col>12</xdr:col>
      <xdr:colOff>912240</xdr:colOff>
      <xdr:row>26</xdr:row>
      <xdr:rowOff>26280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923760</xdr:colOff>
      <xdr:row>0</xdr:row>
      <xdr:rowOff>0</xdr:rowOff>
    </xdr:from>
    <xdr:to>
      <xdr:col>23</xdr:col>
      <xdr:colOff>388080</xdr:colOff>
      <xdr:row>25</xdr:row>
      <xdr:rowOff>178920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514440</xdr:colOff>
      <xdr:row>39</xdr:row>
      <xdr:rowOff>47520</xdr:rowOff>
    </xdr:from>
    <xdr:to>
      <xdr:col>13</xdr:col>
      <xdr:colOff>539280</xdr:colOff>
      <xdr:row>66</xdr:row>
      <xdr:rowOff>18360</xdr:rowOff>
    </xdr:to>
    <xdr:graphicFrame macro="">
      <xdr:nvGraphicFramePr>
        <xdr:cNvPr id="16" name="Chart 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1528200</xdr:colOff>
      <xdr:row>0</xdr:row>
      <xdr:rowOff>528120</xdr:rowOff>
    </xdr:to>
    <xdr:pic>
      <xdr:nvPicPr>
        <xdr:cNvPr id="17" name="Image 3" descr="Picture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0"/>
          <a:ext cx="1528200" cy="52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5</xdr:col>
      <xdr:colOff>133200</xdr:colOff>
      <xdr:row>39</xdr:row>
      <xdr:rowOff>125640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942840</xdr:colOff>
      <xdr:row>15</xdr:row>
      <xdr:rowOff>133200</xdr:rowOff>
    </xdr:from>
    <xdr:to>
      <xdr:col>13</xdr:col>
      <xdr:colOff>29520</xdr:colOff>
      <xdr:row>38</xdr:row>
      <xdr:rowOff>168480</xdr:rowOff>
    </xdr:to>
    <xdr:graphicFrame macro="">
      <xdr:nvGraphicFramePr>
        <xdr:cNvPr id="19" name="Chart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E8596CC-3E25-4123-8D0B-C720C5A51D05}">
  <we:reference id="wa200009404" version="1.0.0.8" store="en-US" storeType="OMEX"/>
  <we:alternateReferences>
    <we:reference id="wa200009404" version="1.0.0.8" store="en-US" storeType="OMEX"/>
  </we:alternateReferences>
  <we:properties>
    <we:property name="claude.fileId" value="&quot;5a5e1bee-bd9b-4ab9-ba80-59365af5d2fa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7AF2-5991-4E64-8FB9-BAC6A8826917}">
  <sheetPr>
    <pageSetUpPr fitToPage="1"/>
  </sheetPr>
  <dimension ref="A1:J39"/>
  <sheetViews>
    <sheetView showGridLines="0" workbookViewId="0">
      <selection activeCell="H3" sqref="H3:I3"/>
    </sheetView>
  </sheetViews>
  <sheetFormatPr defaultRowHeight="15" x14ac:dyDescent="0.25"/>
  <cols>
    <col min="1" max="1" width="34.28515625" customWidth="1"/>
    <col min="2" max="5" width="18.140625" customWidth="1"/>
    <col min="6" max="6" width="14.28515625" customWidth="1"/>
    <col min="7" max="8" width="18.140625" customWidth="1"/>
    <col min="9" max="9" width="13.28515625" customWidth="1"/>
    <col min="10" max="10" width="12.42578125" customWidth="1"/>
  </cols>
  <sheetData>
    <row r="1" spans="1:10" ht="27.95" customHeight="1" x14ac:dyDescent="0.3">
      <c r="A1" s="360" t="s">
        <v>650</v>
      </c>
      <c r="B1" s="361"/>
      <c r="C1" s="361"/>
      <c r="D1" s="361"/>
      <c r="E1" s="361"/>
      <c r="F1" s="361"/>
      <c r="G1" s="361"/>
      <c r="H1" s="361"/>
      <c r="I1" s="362"/>
      <c r="J1" s="8"/>
    </row>
    <row r="2" spans="1:10" ht="20.100000000000001" customHeight="1" thickBot="1" x14ac:dyDescent="0.3">
      <c r="A2" s="363" t="s">
        <v>651</v>
      </c>
      <c r="B2" s="364"/>
      <c r="C2" s="364"/>
      <c r="D2" s="364"/>
      <c r="E2" s="364"/>
      <c r="F2" s="364"/>
      <c r="G2" s="364"/>
      <c r="H2" s="17"/>
      <c r="I2" s="18">
        <f>MATCH(H3,{"Global (PFA ≤ 2%)","Method 6 (Dobbert)","Specific Risk (PFA ≤ 2%)","Simple Acceptance"},0)</f>
        <v>4</v>
      </c>
      <c r="J2" s="9"/>
    </row>
    <row r="3" spans="1:10" ht="15.95" customHeight="1" thickBot="1" x14ac:dyDescent="0.3">
      <c r="A3" s="19" t="s">
        <v>116</v>
      </c>
      <c r="B3" s="20"/>
      <c r="C3" s="20"/>
      <c r="D3" s="20"/>
      <c r="E3" s="367" t="s">
        <v>680</v>
      </c>
      <c r="F3" s="368"/>
      <c r="G3" s="369"/>
      <c r="H3" s="365" t="s">
        <v>689</v>
      </c>
      <c r="I3" s="366"/>
      <c r="J3" s="10"/>
    </row>
    <row r="4" spans="1:10" ht="8.1" customHeight="1" thickBot="1" x14ac:dyDescent="0.3">
      <c r="A4" s="21"/>
      <c r="I4" s="22"/>
    </row>
    <row r="5" spans="1:10" x14ac:dyDescent="0.25">
      <c r="A5" s="354" t="s">
        <v>652</v>
      </c>
      <c r="B5" s="355"/>
      <c r="C5" s="355"/>
      <c r="D5" s="355"/>
      <c r="E5" s="355"/>
      <c r="F5" s="355"/>
      <c r="G5" s="355"/>
      <c r="H5" s="356"/>
      <c r="I5" s="22"/>
    </row>
    <row r="6" spans="1:10" ht="15.95" customHeight="1" x14ac:dyDescent="0.25">
      <c r="A6" s="23" t="s">
        <v>653</v>
      </c>
      <c r="B6" s="24" t="s">
        <v>39</v>
      </c>
      <c r="C6" s="24" t="s">
        <v>654</v>
      </c>
      <c r="D6" s="24" t="s">
        <v>676</v>
      </c>
      <c r="E6" s="24" t="s">
        <v>655</v>
      </c>
      <c r="F6" s="24" t="s">
        <v>656</v>
      </c>
      <c r="G6" s="25" t="s">
        <v>353</v>
      </c>
      <c r="H6" s="26" t="s">
        <v>677</v>
      </c>
      <c r="I6" s="22"/>
    </row>
    <row r="7" spans="1:10" ht="21.95" customHeight="1" thickBot="1" x14ac:dyDescent="0.3">
      <c r="A7" s="27" t="str">
        <f>TEXT(Dashboard!B14*100,"0.000")&amp;"%"</f>
        <v>0.100%</v>
      </c>
      <c r="B7" s="28" t="str">
        <f>TEXT(Dashboard!B11*100,"0")&amp;"%"</f>
        <v>89%</v>
      </c>
      <c r="C7" s="28" t="str">
        <f>TEXT(Dashboard!B7,"$#,##0")&amp;"/hr"</f>
        <v>$200/hr</v>
      </c>
      <c r="D7" s="28" t="str">
        <f>TEXT(Dashboard!B9,"$#,##0.00")</f>
        <v>$116.67</v>
      </c>
      <c r="E7" s="28" t="str">
        <f>TEXT(Dashboard!B10,"#,##0")</f>
        <v>500</v>
      </c>
      <c r="F7" s="28" t="str">
        <f>TEXT(Dashboard!B22,"$#,##0")</f>
        <v>$300</v>
      </c>
      <c r="G7" s="29" t="str">
        <f>TEXT(Dashboard!B10*Dashboard!B22,"$#,##0")</f>
        <v>$150,000</v>
      </c>
      <c r="H7" s="30" t="str">
        <f>Dashboard!B18</f>
        <v>No</v>
      </c>
      <c r="I7" s="22"/>
    </row>
    <row r="8" spans="1:10" ht="15.75" thickBot="1" x14ac:dyDescent="0.3">
      <c r="A8" s="21"/>
      <c r="I8" s="22"/>
    </row>
    <row r="9" spans="1:10" x14ac:dyDescent="0.25">
      <c r="A9" s="357" t="s">
        <v>123</v>
      </c>
      <c r="B9" s="358"/>
      <c r="C9" s="358"/>
      <c r="D9" s="358"/>
      <c r="E9" s="358"/>
      <c r="F9" s="358"/>
      <c r="G9" s="358"/>
      <c r="H9" s="358"/>
      <c r="I9" s="359"/>
    </row>
    <row r="10" spans="1:10" ht="24" customHeight="1" x14ac:dyDescent="0.3">
      <c r="A10" s="31" t="s">
        <v>657</v>
      </c>
      <c r="B10" s="32" t="str">
        <f>INDEX(A19:A25,MATCH(MAX(H19:H25),H19:H25,0))</f>
        <v>UCM Automated</v>
      </c>
      <c r="C10" s="33"/>
      <c r="D10" s="34" t="s">
        <v>658</v>
      </c>
      <c r="E10" s="35">
        <f>MAX(H19:H25)</f>
        <v>57005.715682195732</v>
      </c>
      <c r="F10" s="33"/>
      <c r="G10" s="34" t="s">
        <v>659</v>
      </c>
      <c r="H10" s="370" t="str">
        <f>_xlfn.LET(_xlpm.bestRow,MATCH(MAX(H19:H25),H19:H25,0),_xlpm.pb,CHOOSE($I$2,INDEX(Breakeven!J31:J37,_xlpm.bestRow),INDEX(Breakeven!K31:K37,_xlpm.bestRow),INDEX(Breakeven!L31:L37,_xlpm.bestRow),INDEX(Breakeven!U31:U37,_xlpm.bestRow)),IF(OR(_xlpm.pb="Never",MAX(H19:H25)&lt;=0),"N/A",TEXT(_xlpm.pb,"0.0")&amp;" years"))</f>
        <v>1.8 years</v>
      </c>
      <c r="I10" s="371"/>
    </row>
    <row r="11" spans="1:10" ht="24" customHeight="1" thickBot="1" x14ac:dyDescent="0.35">
      <c r="A11" s="36" t="s">
        <v>660</v>
      </c>
      <c r="B11" s="37" t="str">
        <f>INDEX(A19:A25,MATCH(MIN(H19:H25),H19:H25,0))</f>
        <v>Deadweight</v>
      </c>
      <c r="C11" s="38"/>
      <c r="D11" s="39" t="s">
        <v>658</v>
      </c>
      <c r="E11" s="40">
        <f>MIN(H19:H25)</f>
        <v>29722.469692614308</v>
      </c>
      <c r="F11" s="38"/>
      <c r="G11" s="39" t="s">
        <v>661</v>
      </c>
      <c r="H11" s="41">
        <f>MAX(H19:H25)-MIN(H19:H25)</f>
        <v>27283.245989581425</v>
      </c>
      <c r="I11" s="42" t="s">
        <v>662</v>
      </c>
    </row>
    <row r="12" spans="1:10" ht="6" customHeight="1" x14ac:dyDescent="0.25">
      <c r="A12" s="21"/>
      <c r="I12" s="22"/>
    </row>
    <row r="13" spans="1:10" ht="15.95" customHeight="1" x14ac:dyDescent="0.25">
      <c r="A13" s="351" t="str">
        <f>"At "&amp;A7&amp;" tolerance, "&amp;B7&amp;" EOPR, "&amp;E7&amp;" cals/yr at "&amp;C7&amp;": "&amp;B10&amp;" is the best machine at $"&amp;TEXT(ABS(E10),"#,##0")&amp;"/yr "&amp;IF(E10&gt;=0,"profit","loss")&amp;IF(AND(ISNUMBER(VALUE(LEFT(H10,3))),E10&gt;0),", "&amp;H10&amp;" payback.",".")&amp;" Worst available: "&amp;B11&amp;" at $"&amp;TEXT(ABS(E11),"#,##0")&amp;"/yr "&amp;IF(E11&gt;=0,"profit.","loss.")</f>
        <v>At 0.100% tolerance, 89% EOPR, 500 cals/yr at $200/hr: UCM Automated is the best machine at $57,006/yr profit, 1.8 years payback. Worst available: Deadweight at $29,722/yr profit.</v>
      </c>
      <c r="B13" s="352"/>
      <c r="C13" s="352"/>
      <c r="D13" s="352"/>
      <c r="E13" s="352"/>
      <c r="F13" s="352"/>
      <c r="G13" s="352"/>
      <c r="H13" s="352"/>
      <c r="I13" s="353"/>
    </row>
    <row r="14" spans="1:10" ht="15.95" customHeight="1" x14ac:dyDescent="0.25">
      <c r="A14" s="351" t="str">
        <f>"Best option: "&amp;B10&amp;" at $"&amp;TEXT(ABS(E10),"#,##0")&amp;"/yr "&amp;IF(E10&gt;=0,"profit","loss")&amp;IF(AND(ISNUMBER(VALUE(LEFT(H10,3))),E10&gt;0),", "&amp;H10&amp;" payback","")&amp;". Saves $"&amp;TEXT(D32,"#,##0")&amp;"/yr vs worst ("&amp;B11&amp;")."</f>
        <v>Best option: UCM Automated at $57,006/yr profit, 1.8 years payback. Saves $27,283/yr vs worst (Deadweight).</v>
      </c>
      <c r="B14" s="352"/>
      <c r="C14" s="352"/>
      <c r="D14" s="352"/>
      <c r="E14" s="352"/>
      <c r="F14" s="352"/>
      <c r="G14" s="352"/>
      <c r="H14" s="352"/>
      <c r="I14" s="353"/>
    </row>
    <row r="15" spans="1:10" ht="15.95" customHeight="1" x14ac:dyDescent="0.25">
      <c r="A15" s="351" t="str">
        <f>"Switching from "&amp;B11&amp;" ($"&amp;TEXT(ABS(E11),"#,##0")&amp;" "&amp;IF(E11&gt;=0,"profit","loss")&amp;") to "&amp;B10&amp;" ($"&amp;TEXT(ABS(E10),"#,##0")&amp;" "&amp;IF(E10&gt;=0,"profit","loss")&amp;") saves $"&amp;TEXT(D32,"#,##0")&amp;"/yr"&amp;IF(AND(ISNUMBER(VALUE(LEFT(H10,3))),E10&gt;0),", payback in "&amp;H10&amp;".",".")</f>
        <v>Switching from Deadweight ($29,722 profit) to UCM Automated ($57,006 profit) saves $27,283/yr, payback in 1.8 years.</v>
      </c>
      <c r="B15" s="352"/>
      <c r="C15" s="352"/>
      <c r="D15" s="352"/>
      <c r="E15" s="352"/>
      <c r="F15" s="352"/>
      <c r="G15" s="352"/>
      <c r="H15" s="352"/>
      <c r="I15" s="353"/>
    </row>
    <row r="16" spans="1:10" ht="6" customHeight="1" thickBot="1" x14ac:dyDescent="0.3">
      <c r="A16" s="21"/>
      <c r="I16" s="22"/>
    </row>
    <row r="17" spans="1:9" ht="21.95" customHeight="1" x14ac:dyDescent="0.25">
      <c r="A17" s="375" t="str">
        <f>"MACHINE COST &amp; PROFITABILITY COMPARISON ("&amp;H3&amp;" Decision Rule) — Applied Force: "&amp;TEXT(Dashboard!B15,"#,##0")&amp;" lbf"</f>
        <v>MACHINE COST &amp; PROFITABILITY COMPARISON (Simple Acceptance Decision Rule) — Applied Force: 2,000 lbf</v>
      </c>
      <c r="B17" s="376"/>
      <c r="C17" s="376"/>
      <c r="D17" s="376"/>
      <c r="E17" s="376"/>
      <c r="F17" s="376"/>
      <c r="G17" s="376"/>
      <c r="H17" s="376"/>
      <c r="I17" s="377"/>
    </row>
    <row r="18" spans="1:9" ht="18" customHeight="1" thickBot="1" x14ac:dyDescent="0.3">
      <c r="A18" s="43" t="s">
        <v>130</v>
      </c>
      <c r="B18" s="44" t="s">
        <v>132</v>
      </c>
      <c r="C18" s="44" t="s">
        <v>143</v>
      </c>
      <c r="D18" s="44" t="s">
        <v>134</v>
      </c>
      <c r="E18" s="44" t="s">
        <v>663</v>
      </c>
      <c r="F18" s="44" t="s">
        <v>136</v>
      </c>
      <c r="G18" s="44" t="s">
        <v>664</v>
      </c>
      <c r="H18" s="44" t="s">
        <v>665</v>
      </c>
      <c r="I18" s="45" t="s">
        <v>140</v>
      </c>
    </row>
    <row r="19" spans="1:9" ht="18" customHeight="1" x14ac:dyDescent="0.25">
      <c r="A19" s="46" t="str">
        <f>Dashboard!A25</f>
        <v>BCM</v>
      </c>
      <c r="B19" s="47">
        <f>IF(Dashboard!$B$15&gt;Dashboard!$W25,"N/A",Dashboard!D25)</f>
        <v>2</v>
      </c>
      <c r="C19" s="48">
        <f>IF(Dashboard!$B$15&gt;Dashboard!$W25,"N/A",Breakeven!P31)</f>
        <v>90000</v>
      </c>
      <c r="D19" s="48">
        <f>IF(Dashboard!$B$15&gt;Dashboard!$W25,"N/A",CHOOSE($I$2,Dashboard!K25,Dashboard!O25,Dashboard!S25,Dashboard!Z25))</f>
        <v>3044.099265312449</v>
      </c>
      <c r="E19" s="48">
        <f>IF(Dashboard!$B$15&gt;Dashboard!$W25,"N/A",'Range Analysis'!R24)</f>
        <v>2000</v>
      </c>
      <c r="F19" s="48">
        <f>IF(Dashboard!$B$15&gt;Dashboard!$W25,"N/A",'Range Analysis'!S24)</f>
        <v>0</v>
      </c>
      <c r="G19" s="49">
        <f>IF(Dashboard!$B$15&gt;Dashboard!$W25,"N/A",CHOOSE($I$2,Breakeven!C6,Breakeven!D6,Breakeven!E6,Breakeven!S31)+Breakeven!P31)</f>
        <v>95044.099265312456</v>
      </c>
      <c r="H19" s="49">
        <f>IF(Dashboard!$B$15&gt;Dashboard!$W25,"N/A",CHOOSE($I$2,Breakeven!G31,Breakeven!H31,Breakeven!I31,Breakeven!T31))</f>
        <v>54955.900734687544</v>
      </c>
      <c r="I19" s="50" t="str">
        <f>IF(Dashboard!$B$15&gt;Dashboard!$W25,"N/A",IF(CHOOSE($I$2,Breakeven!J31,Breakeven!K31,Breakeven!L31,Breakeven!U31)="Never","Never",TEXT(CHOOSE($I$2,Breakeven!J31,Breakeven!K31,Breakeven!L31,Breakeven!U31),"0.0")&amp;" yr"))</f>
        <v>0.5 yr</v>
      </c>
    </row>
    <row r="20" spans="1:9" ht="18" customHeight="1" x14ac:dyDescent="0.25">
      <c r="A20" s="51" t="str">
        <f>Dashboard!A26</f>
        <v>PCM</v>
      </c>
      <c r="B20" s="52">
        <f>IF(Dashboard!$B$15&gt;Dashboard!$W26,"N/A",Dashboard!D26)</f>
        <v>3.0303030303030303</v>
      </c>
      <c r="C20" s="53">
        <f>IF(Dashboard!$B$15&gt;Dashboard!$W26,"N/A",Breakeven!P32)</f>
        <v>90000</v>
      </c>
      <c r="D20" s="53">
        <f>IF(Dashboard!$B$15&gt;Dashboard!$W26,"N/A",CHOOSE($I$2,Dashboard!K26,Dashboard!O26,Dashboard!S26,Dashboard!Z26))</f>
        <v>1786.3810988273713</v>
      </c>
      <c r="E20" s="53">
        <f>IF(Dashboard!$B$15&gt;Dashboard!$W26,"N/A",'Range Analysis'!R25)</f>
        <v>2000</v>
      </c>
      <c r="F20" s="53">
        <f>IF(Dashboard!$B$15&gt;Dashboard!$W26,"N/A",'Range Analysis'!S25)</f>
        <v>0</v>
      </c>
      <c r="G20" s="54">
        <f>IF(Dashboard!$B$15&gt;Dashboard!$W26,"N/A",CHOOSE($I$2,Breakeven!C7,Breakeven!D7,Breakeven!E7,Breakeven!S32)+Breakeven!P32)</f>
        <v>93786.381098827376</v>
      </c>
      <c r="H20" s="54">
        <f>IF(Dashboard!$B$15&gt;Dashboard!$W26,"N/A",CHOOSE($I$2,Breakeven!G32,Breakeven!H32,Breakeven!I32,Breakeven!T32))</f>
        <v>56213.618901172624</v>
      </c>
      <c r="I20" s="55" t="str">
        <f>IF(Dashboard!$B$15&gt;Dashboard!$W26,"N/A",IF(CHOOSE($I$2,Breakeven!J32,Breakeven!K32,Breakeven!L32,Breakeven!U32)="Never","Never",TEXT(CHOOSE($I$2,Breakeven!J32,Breakeven!K32,Breakeven!L32,Breakeven!U32),"0.0")&amp;" yr"))</f>
        <v>0.6 yr</v>
      </c>
    </row>
    <row r="21" spans="1:9" ht="18" customHeight="1" x14ac:dyDescent="0.25">
      <c r="A21" s="51" t="str">
        <f>Dashboard!A27</f>
        <v>UCM Manual</v>
      </c>
      <c r="B21" s="52">
        <f>IF(Dashboard!$B$15&gt;Dashboard!$W27,"N/A",Dashboard!D27)</f>
        <v>3.3333333333333335</v>
      </c>
      <c r="C21" s="53">
        <f>IF(Dashboard!$B$15&gt;Dashboard!$W27,"N/A",Breakeven!P33)</f>
        <v>100000</v>
      </c>
      <c r="D21" s="53">
        <f>IF(Dashboard!$B$15&gt;Dashboard!$W27,"N/A",CHOOSE($I$2,Dashboard!K27,Dashboard!O27,Dashboard!S27,Dashboard!Z27))</f>
        <v>1590.4789810422815</v>
      </c>
      <c r="E21" s="53">
        <f>IF(Dashboard!$B$15&gt;Dashboard!$W27,"N/A",'Range Analysis'!R26)</f>
        <v>2000</v>
      </c>
      <c r="F21" s="53">
        <f>IF(Dashboard!$B$15&gt;Dashboard!$W27,"N/A",'Range Analysis'!S26)</f>
        <v>0</v>
      </c>
      <c r="G21" s="54">
        <f>IF(Dashboard!$B$15&gt;Dashboard!$W27,"N/A",CHOOSE($I$2,Breakeven!C8,Breakeven!D8,Breakeven!E8,Breakeven!S33)+Breakeven!P33)</f>
        <v>103590.47898104228</v>
      </c>
      <c r="H21" s="54">
        <f>IF(Dashboard!$B$15&gt;Dashboard!$W27,"N/A",CHOOSE($I$2,Breakeven!G33,Breakeven!H33,Breakeven!I33,Breakeven!T33))</f>
        <v>46409.521018957719</v>
      </c>
      <c r="I21" s="55" t="str">
        <f>IF(Dashboard!$B$15&gt;Dashboard!$W27,"N/A",IF(CHOOSE($I$2,Breakeven!J33,Breakeven!K33,Breakeven!L33,Breakeven!U33)="Never","Never",TEXT(CHOOSE($I$2,Breakeven!J33,Breakeven!K33,Breakeven!L33,Breakeven!U33),"0.0")&amp;" yr"))</f>
        <v>1.1 yr</v>
      </c>
    </row>
    <row r="22" spans="1:9" ht="18" customHeight="1" x14ac:dyDescent="0.25">
      <c r="A22" s="51" t="str">
        <f>Dashboard!A28</f>
        <v>UCM Automated</v>
      </c>
      <c r="B22" s="52">
        <f>IF(Dashboard!$B$15&gt;Dashboard!$W28,"N/A",Dashboard!D28)</f>
        <v>5</v>
      </c>
      <c r="C22" s="53">
        <f>IF(Dashboard!$B$15&gt;Dashboard!$W28,"N/A",Breakeven!P34)</f>
        <v>90000</v>
      </c>
      <c r="D22" s="53">
        <f>IF(Dashboard!$B$15&gt;Dashboard!$W28,"N/A",CHOOSE($I$2,Dashboard!K28,Dashboard!O28,Dashboard!S28,Dashboard!Z28))</f>
        <v>994.28431780426058</v>
      </c>
      <c r="E22" s="53">
        <f>IF(Dashboard!$B$15&gt;Dashboard!$W28,"N/A",'Range Analysis'!R27)</f>
        <v>2000</v>
      </c>
      <c r="F22" s="53">
        <f>IF(Dashboard!$B$15&gt;Dashboard!$W28,"N/A",'Range Analysis'!S27)</f>
        <v>0</v>
      </c>
      <c r="G22" s="54">
        <f>IF(Dashboard!$B$15&gt;Dashboard!$W28,"N/A",CHOOSE($I$2,Breakeven!C9,Breakeven!D9,Breakeven!E9,Breakeven!S34)+Breakeven!P34)</f>
        <v>92994.284317804268</v>
      </c>
      <c r="H22" s="54">
        <f>IF(Dashboard!$B$15&gt;Dashboard!$W28,"N/A",CHOOSE($I$2,Breakeven!G34,Breakeven!H34,Breakeven!I34,Breakeven!T34))</f>
        <v>57005.715682195732</v>
      </c>
      <c r="I22" s="55" t="str">
        <f>IF(Dashboard!$B$15&gt;Dashboard!$W28,"N/A",IF(CHOOSE($I$2,Breakeven!J34,Breakeven!K34,Breakeven!L34,Breakeven!U34)="Never","Never",TEXT(CHOOSE($I$2,Breakeven!J34,Breakeven!K34,Breakeven!L34,Breakeven!U34),"0.0")&amp;" yr"))</f>
        <v>1.8 yr</v>
      </c>
    </row>
    <row r="23" spans="1:9" ht="18" customHeight="1" x14ac:dyDescent="0.25">
      <c r="A23" s="51" t="str">
        <f>Dashboard!A29</f>
        <v>Deadweight</v>
      </c>
      <c r="B23" s="52">
        <f>IF(Dashboard!$B$15&gt;Dashboard!$W29,"N/A",Dashboard!D29)</f>
        <v>50</v>
      </c>
      <c r="C23" s="53">
        <f>IF(Dashboard!$B$15&gt;Dashboard!$W29,"N/A",Breakeven!P35)</f>
        <v>120000</v>
      </c>
      <c r="D23" s="53">
        <f>IF(Dashboard!$B$15&gt;Dashboard!$W29,"N/A",CHOOSE($I$2,Dashboard!K29,Dashboard!O29,Dashboard!S29,Dashboard!Z29))</f>
        <v>277.53030738569646</v>
      </c>
      <c r="E23" s="53">
        <f>IF(Dashboard!$B$15&gt;Dashboard!$W29,"N/A",'Range Analysis'!R28)</f>
        <v>0</v>
      </c>
      <c r="F23" s="53">
        <f>IF(Dashboard!$B$15&gt;Dashboard!$W29,"N/A",'Range Analysis'!S28)</f>
        <v>0</v>
      </c>
      <c r="G23" s="54">
        <f>IF(Dashboard!$B$15&gt;Dashboard!$W29,"N/A",CHOOSE($I$2,Breakeven!C10,Breakeven!D10,Breakeven!E10,Breakeven!S35)+Breakeven!P35)</f>
        <v>120277.53030738569</v>
      </c>
      <c r="H23" s="54">
        <f>IF(Dashboard!$B$15&gt;Dashboard!$W29,"N/A",CHOOSE($I$2,Breakeven!G35,Breakeven!H35,Breakeven!I35,Breakeven!T35))</f>
        <v>29722.469692614308</v>
      </c>
      <c r="I23" s="55" t="str">
        <f>IF(Dashboard!$B$15&gt;Dashboard!$W29,"N/A",IF(CHOOSE($I$2,Breakeven!J35,Breakeven!K35,Breakeven!L35,Breakeven!U35)="Never","Never",TEXT(CHOOSE($I$2,Breakeven!J35,Breakeven!K35,Breakeven!L35,Breakeven!U35),"0.0")&amp;" yr"))</f>
        <v>11.8 yr</v>
      </c>
    </row>
    <row r="24" spans="1:9" ht="18" customHeight="1" x14ac:dyDescent="0.25">
      <c r="A24" s="56" t="str">
        <f>Dashboard!A30</f>
        <v>Competitor 1</v>
      </c>
      <c r="B24" s="57">
        <f>IF(Dashboard!$B$15&gt;Dashboard!$W30,"N/A",Dashboard!D30)</f>
        <v>2</v>
      </c>
      <c r="C24" s="58">
        <f>IF(Dashboard!$B$15&gt;Dashboard!$W30,"N/A",Breakeven!P36)</f>
        <v>100000</v>
      </c>
      <c r="D24" s="58">
        <f>IF(Dashboard!$B$15&gt;Dashboard!$W30,"N/A",CHOOSE($I$2,Dashboard!K30,Dashboard!O30,Dashboard!S30,Dashboard!Z30))</f>
        <v>3044.099265312449</v>
      </c>
      <c r="E24" s="58">
        <f>IF(Dashboard!$B$15&gt;Dashboard!$W30,"N/A",'Range Analysis'!R29)</f>
        <v>2000</v>
      </c>
      <c r="F24" s="58">
        <f>IF(Dashboard!$B$15&gt;Dashboard!$W30,"N/A",'Range Analysis'!S29)</f>
        <v>0</v>
      </c>
      <c r="G24" s="59">
        <f>IF(Dashboard!$B$15&gt;Dashboard!$W30,"N/A",CHOOSE($I$2,Breakeven!C11,Breakeven!D11,Breakeven!E11,Breakeven!S36)+Breakeven!P36)</f>
        <v>105044.09926531246</v>
      </c>
      <c r="H24" s="59">
        <f>IF(Dashboard!$B$15&gt;Dashboard!$W30,"N/A",CHOOSE($I$2,Breakeven!G36,Breakeven!H36,Breakeven!I36,Breakeven!T36))</f>
        <v>44955.900734687544</v>
      </c>
      <c r="I24" s="60" t="str">
        <f>IF(Dashboard!$B$15&gt;Dashboard!$W30,"N/A",IF(CHOOSE($I$2,Breakeven!J36,Breakeven!K36,Breakeven!L36,Breakeven!U36)="Never","Never",TEXT(CHOOSE($I$2,Breakeven!J36,Breakeven!K36,Breakeven!L36,Breakeven!U36),"0.0")&amp;" yr"))</f>
        <v>1.2 yr</v>
      </c>
    </row>
    <row r="25" spans="1:9" ht="18" customHeight="1" thickBot="1" x14ac:dyDescent="0.3">
      <c r="A25" s="61" t="str">
        <f>Dashboard!A31</f>
        <v>Competitor 2</v>
      </c>
      <c r="B25" s="62">
        <f>IF(Dashboard!$B$15&gt;Dashboard!$W31,"N/A",Dashboard!D31)</f>
        <v>1.6666666666666667</v>
      </c>
      <c r="C25" s="63">
        <f>IF(Dashboard!$B$15&gt;Dashboard!$W31,"N/A",Breakeven!P37)</f>
        <v>100000</v>
      </c>
      <c r="D25" s="63">
        <f>IF(Dashboard!$B$15&gt;Dashboard!$W31,"N/A",CHOOSE($I$2,Dashboard!K31,Dashboard!O31,Dashboard!S31,Dashboard!Z31))</f>
        <v>3632.0294509074747</v>
      </c>
      <c r="E25" s="63">
        <f>IF(Dashboard!$B$15&gt;Dashboard!$W31,"N/A",'Range Analysis'!R30)</f>
        <v>2000</v>
      </c>
      <c r="F25" s="63">
        <f>IF(Dashboard!$B$15&gt;Dashboard!$W31,"N/A",'Range Analysis'!S30)</f>
        <v>0</v>
      </c>
      <c r="G25" s="64">
        <f>IF(Dashboard!$B$15&gt;Dashboard!$W31,"N/A",CHOOSE($I$2,Breakeven!C12,Breakeven!D12,Breakeven!E12,Breakeven!S37)+Breakeven!P37)</f>
        <v>105632.02945090747</v>
      </c>
      <c r="H25" s="64">
        <f>IF(Dashboard!$B$15&gt;Dashboard!$W31,"N/A",CHOOSE($I$2,Breakeven!G37,Breakeven!H37,Breakeven!I37,Breakeven!T37))</f>
        <v>44367.970549092512</v>
      </c>
      <c r="I25" s="65" t="str">
        <f>IF(Dashboard!$B$15&gt;Dashboard!$W31,"N/A",IF(CHOOSE($I$2,Breakeven!J37,Breakeven!K37,Breakeven!L37,Breakeven!U37)="Never","Never",TEXT(CHOOSE($I$2,Breakeven!J37,Breakeven!K37,Breakeven!L37,Breakeven!U37),"0.0")&amp;" yr"))</f>
        <v>0.9 yr</v>
      </c>
    </row>
    <row r="26" spans="1:9" ht="6" customHeight="1" x14ac:dyDescent="0.25">
      <c r="A26" s="21"/>
      <c r="I26" s="22"/>
    </row>
    <row r="27" spans="1:9" ht="21.95" customHeight="1" thickBot="1" x14ac:dyDescent="0.3">
      <c r="A27" s="378" t="s">
        <v>666</v>
      </c>
      <c r="B27" s="379"/>
      <c r="C27" s="379"/>
      <c r="D27" s="379"/>
      <c r="E27" s="379"/>
      <c r="F27" s="379"/>
      <c r="G27" s="379"/>
      <c r="H27" s="379"/>
      <c r="I27" s="380"/>
    </row>
    <row r="28" spans="1:9" ht="18" customHeight="1" thickBot="1" x14ac:dyDescent="0.3">
      <c r="A28" s="66"/>
      <c r="B28" s="67" t="s">
        <v>667</v>
      </c>
      <c r="C28" s="67" t="s">
        <v>668</v>
      </c>
      <c r="D28" s="68" t="s">
        <v>669</v>
      </c>
      <c r="I28" s="22"/>
    </row>
    <row r="29" spans="1:9" ht="18" customHeight="1" x14ac:dyDescent="0.25">
      <c r="A29" s="69" t="s">
        <v>130</v>
      </c>
      <c r="B29" s="70" t="str">
        <f>B11</f>
        <v>Deadweight</v>
      </c>
      <c r="C29" s="71" t="str">
        <f>B10</f>
        <v>UCM Automated</v>
      </c>
      <c r="D29" s="72"/>
      <c r="I29" s="22"/>
    </row>
    <row r="30" spans="1:9" ht="18" customHeight="1" x14ac:dyDescent="0.25">
      <c r="A30" s="73" t="s">
        <v>664</v>
      </c>
      <c r="B30" s="74">
        <f>INDEX(G19:G25,MATCH(B11,A19:A25,0))</f>
        <v>120277.53030738569</v>
      </c>
      <c r="C30" s="75">
        <f>INDEX(G19:G25,MATCH(B10,A19:A25,0))</f>
        <v>92994.284317804268</v>
      </c>
      <c r="D30" s="76">
        <f>B30-C30</f>
        <v>27283.245989581425</v>
      </c>
      <c r="I30" s="22"/>
    </row>
    <row r="31" spans="1:9" ht="18" customHeight="1" x14ac:dyDescent="0.25">
      <c r="A31" s="77" t="s">
        <v>670</v>
      </c>
      <c r="B31" s="78">
        <f>INDEX(D19:D25,MATCH(B11,A19:A25,0))</f>
        <v>277.53030738569646</v>
      </c>
      <c r="C31" s="79">
        <f>INDEX(D19:D25,MATCH(B10,A19:A25,0))</f>
        <v>994.28431780426058</v>
      </c>
      <c r="D31" s="80">
        <f>B31-C31</f>
        <v>-716.75401041856412</v>
      </c>
      <c r="I31" s="22"/>
    </row>
    <row r="32" spans="1:9" ht="18" customHeight="1" thickBot="1" x14ac:dyDescent="0.3">
      <c r="A32" s="81" t="s">
        <v>665</v>
      </c>
      <c r="B32" s="82">
        <f>INDEX(H19:H25,MATCH(B11,A19:A25,0))</f>
        <v>29722.469692614308</v>
      </c>
      <c r="C32" s="83">
        <f>INDEX(H19:H25,MATCH(B10,A19:A25,0))</f>
        <v>57005.715682195732</v>
      </c>
      <c r="D32" s="84">
        <f>C32-B32</f>
        <v>27283.245989581425</v>
      </c>
      <c r="I32" s="22"/>
    </row>
    <row r="33" spans="1:9" ht="6" customHeight="1" thickBot="1" x14ac:dyDescent="0.3">
      <c r="A33" s="85"/>
      <c r="B33" s="86"/>
      <c r="C33" s="86"/>
      <c r="D33" s="86"/>
      <c r="E33" s="86"/>
      <c r="F33" s="86"/>
      <c r="G33" s="86"/>
      <c r="H33" s="86"/>
      <c r="I33" s="87"/>
    </row>
    <row r="34" spans="1:9" ht="21.95" customHeight="1" thickBot="1" x14ac:dyDescent="0.3">
      <c r="A34" s="381" t="s">
        <v>671</v>
      </c>
      <c r="B34" s="382"/>
      <c r="C34" s="382"/>
      <c r="D34" s="382"/>
      <c r="E34" s="382"/>
      <c r="F34" s="382"/>
      <c r="G34" s="382"/>
      <c r="H34" s="382"/>
      <c r="I34" s="383"/>
    </row>
    <row r="35" spans="1:9" ht="18" customHeight="1" thickBot="1" x14ac:dyDescent="0.3">
      <c r="A35" s="88"/>
      <c r="B35" s="89" t="s">
        <v>672</v>
      </c>
      <c r="C35" s="89" t="s">
        <v>669</v>
      </c>
      <c r="D35" s="89" t="s">
        <v>140</v>
      </c>
      <c r="E35" s="89" t="s">
        <v>673</v>
      </c>
      <c r="F35" s="89" t="s">
        <v>674</v>
      </c>
      <c r="G35" s="90" t="s">
        <v>675</v>
      </c>
      <c r="I35" s="22"/>
    </row>
    <row r="36" spans="1:9" ht="18" customHeight="1" thickBot="1" x14ac:dyDescent="0.3">
      <c r="A36" s="91" t="str">
        <f>"Upgrade: "&amp;B11&amp;" → "&amp;B10</f>
        <v>Upgrade: Deadweight → UCM Automated</v>
      </c>
      <c r="B36" s="92">
        <f>INDEX(Breakeven!B31:B37,MATCH(B10,A19:A25,0))-INDEX(Breakeven!B31:B37,MATCH(B11,A19:A25,0))</f>
        <v>-250000</v>
      </c>
      <c r="C36" s="93">
        <f>D32</f>
        <v>27283.245989581425</v>
      </c>
      <c r="D36" s="94" t="str">
        <f>IF(C36&lt;=0,"Never",TEXT(MAX(0,B36)/C36,"0.0")&amp;" yr")</f>
        <v>0.0 yr</v>
      </c>
      <c r="E36" s="95">
        <f>C36*1-MAX(0,B36)</f>
        <v>27283.245989581425</v>
      </c>
      <c r="F36" s="96">
        <f>C36*3-MAX(0,B36)</f>
        <v>81849.737968744274</v>
      </c>
      <c r="G36" s="97">
        <f>C36*5-MAX(0,B36)</f>
        <v>136416.22994790712</v>
      </c>
      <c r="H36" s="86"/>
      <c r="I36" s="87"/>
    </row>
    <row r="37" spans="1:9" ht="8.1" customHeight="1" x14ac:dyDescent="0.25">
      <c r="A37" s="21"/>
      <c r="I37" s="22"/>
    </row>
    <row r="38" spans="1:9" x14ac:dyDescent="0.25">
      <c r="A38" s="384" t="str">
        <f>"Generated by the Morehouse True Cost Calculator. Figures are estimates based on user inputs. Decision rule: "&amp;H3&amp;"."</f>
        <v>Generated by the Morehouse True Cost Calculator. Figures are estimates based on user inputs. Decision rule: Simple Acceptance.</v>
      </c>
      <c r="B38" s="385"/>
      <c r="C38" s="385"/>
      <c r="D38" s="385"/>
      <c r="E38" s="385"/>
      <c r="F38" s="385"/>
      <c r="G38" s="385"/>
      <c r="H38" s="385"/>
      <c r="I38" s="386"/>
    </row>
    <row r="39" spans="1:9" ht="15.75" thickBot="1" x14ac:dyDescent="0.3">
      <c r="A39" s="372" t="str">
        <f ca="1">"Report generated: "&amp;TEXT(TODAY(),"MMMM D, YYYY")</f>
        <v>Report generated: May 5, 2026</v>
      </c>
      <c r="B39" s="373"/>
      <c r="C39" s="373"/>
      <c r="D39" s="373"/>
      <c r="E39" s="373"/>
      <c r="F39" s="373"/>
      <c r="G39" s="373"/>
      <c r="H39" s="373"/>
      <c r="I39" s="374"/>
    </row>
  </sheetData>
  <sheetProtection sheet="1" objects="1" scenarios="1" sort="0" autoFilter="0"/>
  <mergeCells count="15">
    <mergeCell ref="A39:I39"/>
    <mergeCell ref="A14:I14"/>
    <mergeCell ref="A15:I15"/>
    <mergeCell ref="A17:I17"/>
    <mergeCell ref="A27:I27"/>
    <mergeCell ref="A34:I34"/>
    <mergeCell ref="A38:I38"/>
    <mergeCell ref="A13:I13"/>
    <mergeCell ref="A5:H5"/>
    <mergeCell ref="A9:I9"/>
    <mergeCell ref="A1:I1"/>
    <mergeCell ref="A2:G2"/>
    <mergeCell ref="H3:I3"/>
    <mergeCell ref="E3:G3"/>
    <mergeCell ref="H10:I10"/>
  </mergeCells>
  <dataValidations count="1">
    <dataValidation type="list" allowBlank="1" showInputMessage="1" showErrorMessage="1" sqref="H3" xr:uid="{B92E0B55-3FA8-4092-BE3C-209F616F1066}">
      <formula1>"Specific Risk (PFA ≤ 2%),Method 6 (Dobbert),Global (PFA ≤ 2%),Simple Acceptance"</formula1>
    </dataValidation>
  </dataValidations>
  <pageMargins left="6.9444444444444441E-3" right="6.9444444444444441E-3" top="6.9444444444444441E-3" bottom="5.5555555555555558E-3" header="2.7777777777777779E-3" footer="2.7777777777777779E-3"/>
  <pageSetup scale="7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B635987-728A-4243-95C0-F38F6FE7D699}">
            <xm:f>A19=Dashboard!C83</xm:f>
            <x14:dxf>
              <fill>
                <patternFill patternType="solid">
                  <fgColor indexed="64"/>
                  <bgColor rgb="FFE2EFDA"/>
                </patternFill>
              </fill>
            </x14:dxf>
          </x14:cfRule>
          <x14:cfRule type="expression" priority="2" id="{60D36F4A-70C7-4C3C-A937-7FA90857DCCD}">
            <xm:f>A19=Dashboard!C84</xm:f>
            <x14:dxf>
              <fill>
                <patternFill patternType="solid">
                  <fgColor indexed="64"/>
                  <bgColor rgb="FFFCE4EC"/>
                </patternFill>
              </fill>
            </x14:dxf>
          </x14:cfRule>
          <xm:sqref>A19:B25</xm:sqref>
        </x14:conditionalFormatting>
        <x14:conditionalFormatting xmlns:xm="http://schemas.microsoft.com/office/excel/2006/main">
          <x14:cfRule type="expression" priority="3" id="{B865FBC3-6F92-4BDB-A978-8B3A154ACB26}">
            <xm:f>AND(A20&lt;&gt;Dashboard!C83,A20&lt;&gt;Dashboard!C84)</xm:f>
            <x14:dxf>
              <fill>
                <patternFill patternType="solid">
                  <fgColor indexed="64"/>
                  <bgColor rgb="FFF5F5F5"/>
                </patternFill>
              </fill>
            </x14:dxf>
          </x14:cfRule>
          <xm:sqref>A20:B20</xm:sqref>
        </x14:conditionalFormatting>
        <x14:conditionalFormatting xmlns:xm="http://schemas.microsoft.com/office/excel/2006/main">
          <x14:cfRule type="expression" priority="4" id="{073E480A-C16B-4A29-8807-035B95099400}">
            <xm:f>AND(A22&lt;&gt;Dashboard!C83,A22&lt;&gt;Dashboard!C84)</xm:f>
            <x14:dxf>
              <fill>
                <patternFill patternType="solid">
                  <fgColor indexed="64"/>
                  <bgColor rgb="FFF5F5F5"/>
                </patternFill>
              </fill>
            </x14:dxf>
          </x14:cfRule>
          <xm:sqref>A22:B22</xm:sqref>
        </x14:conditionalFormatting>
        <x14:conditionalFormatting xmlns:xm="http://schemas.microsoft.com/office/excel/2006/main">
          <x14:cfRule type="expression" priority="5" id="{CC7B314F-0E8A-4607-A603-6AF0FB1519B0}">
            <xm:f>AND(A24&lt;&gt;Dashboard!C83,A24&lt;&gt;Dashboard!C84)</xm:f>
            <x14:dxf>
              <fill>
                <patternFill patternType="solid">
                  <fgColor indexed="64"/>
                  <bgColor rgb="FFF5F5F5"/>
                </patternFill>
              </fill>
            </x14:dxf>
          </x14:cfRule>
          <xm:sqref>A24:B24</xm:sqref>
        </x14:conditionalFormatting>
        <x14:conditionalFormatting xmlns:xm="http://schemas.microsoft.com/office/excel/2006/main">
          <x14:cfRule type="expression" priority="8" id="{0B635987-728A-4243-95C0-F38F6FE7D699}">
            <xm:f>C19=Dashboard!H83</xm:f>
            <x14:dxf>
              <fill>
                <patternFill patternType="solid">
                  <fgColor indexed="64"/>
                  <bgColor rgb="FFE2EFDA"/>
                </patternFill>
              </fill>
            </x14:dxf>
          </x14:cfRule>
          <x14:cfRule type="expression" priority="9" id="{60D36F4A-70C7-4C3C-A937-7FA90857DCCD}">
            <xm:f>C19=Dashboard!H84</xm:f>
            <x14:dxf>
              <fill>
                <patternFill patternType="solid">
                  <fgColor indexed="64"/>
                  <bgColor rgb="FFFCE4EC"/>
                </patternFill>
              </fill>
            </x14:dxf>
          </x14:cfRule>
          <xm:sqref>C19:I25</xm:sqref>
        </x14:conditionalFormatting>
        <x14:conditionalFormatting xmlns:xm="http://schemas.microsoft.com/office/excel/2006/main">
          <x14:cfRule type="expression" priority="11" id="{B865FBC3-6F92-4BDB-A978-8B3A154ACB26}">
            <xm:f>AND(C20&lt;&gt;Dashboard!H83,C20&lt;&gt;Dashboard!H84)</xm:f>
            <x14:dxf>
              <fill>
                <patternFill patternType="solid">
                  <fgColor indexed="64"/>
                  <bgColor rgb="FFF5F5F5"/>
                </patternFill>
              </fill>
            </x14:dxf>
          </x14:cfRule>
          <xm:sqref>C20:I20</xm:sqref>
        </x14:conditionalFormatting>
        <x14:conditionalFormatting xmlns:xm="http://schemas.microsoft.com/office/excel/2006/main">
          <x14:cfRule type="expression" priority="13" id="{073E480A-C16B-4A29-8807-035B95099400}">
            <xm:f>AND(C22&lt;&gt;Dashboard!H83,C22&lt;&gt;Dashboard!H84)</xm:f>
            <x14:dxf>
              <fill>
                <patternFill patternType="solid">
                  <fgColor indexed="64"/>
                  <bgColor rgb="FFF5F5F5"/>
                </patternFill>
              </fill>
            </x14:dxf>
          </x14:cfRule>
          <xm:sqref>C22:I22</xm:sqref>
        </x14:conditionalFormatting>
        <x14:conditionalFormatting xmlns:xm="http://schemas.microsoft.com/office/excel/2006/main">
          <x14:cfRule type="expression" priority="15" id="{CC7B314F-0E8A-4607-A603-6AF0FB1519B0}">
            <xm:f>AND(C24&lt;&gt;Dashboard!H83,C24&lt;&gt;Dashboard!H84)</xm:f>
            <x14:dxf>
              <fill>
                <patternFill patternType="solid">
                  <fgColor indexed="64"/>
                  <bgColor rgb="FFF5F5F5"/>
                </patternFill>
              </fill>
            </x14:dxf>
          </x14:cfRule>
          <xm:sqref>C24:I24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6573B"/>
  </sheetPr>
  <dimension ref="A1:O106"/>
  <sheetViews>
    <sheetView zoomScaleNormal="100" workbookViewId="0">
      <selection activeCell="E13" sqref="E13"/>
    </sheetView>
  </sheetViews>
  <sheetFormatPr defaultColWidth="8.7109375" defaultRowHeight="15" x14ac:dyDescent="0.25"/>
  <cols>
    <col min="1" max="1" width="24" customWidth="1"/>
    <col min="2" max="2" width="14" customWidth="1"/>
    <col min="3" max="19" width="12" customWidth="1"/>
  </cols>
  <sheetData>
    <row r="1" spans="1:15" ht="21" customHeight="1" x14ac:dyDescent="0.35">
      <c r="A1" s="304" t="s">
        <v>542</v>
      </c>
    </row>
    <row r="2" spans="1:15" ht="15" customHeight="1" x14ac:dyDescent="0.25">
      <c r="A2" s="305" t="s">
        <v>698</v>
      </c>
    </row>
    <row r="3" spans="1:15" ht="15" customHeight="1" x14ac:dyDescent="0.25">
      <c r="A3" s="158" t="s">
        <v>699</v>
      </c>
    </row>
    <row r="4" spans="1:15" ht="15" customHeight="1" x14ac:dyDescent="0.25">
      <c r="A4" s="158" t="s">
        <v>543</v>
      </c>
    </row>
    <row r="5" spans="1:15" ht="15" customHeight="1" x14ac:dyDescent="0.25"/>
    <row r="6" spans="1:15" ht="15" customHeight="1" x14ac:dyDescent="0.25">
      <c r="A6" s="306" t="s">
        <v>544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</row>
    <row r="7" spans="1:15" ht="31.5" customHeight="1" x14ac:dyDescent="0.25">
      <c r="A7" s="307" t="s">
        <v>130</v>
      </c>
      <c r="B7" s="307" t="s">
        <v>545</v>
      </c>
      <c r="C7" s="307" t="s">
        <v>132</v>
      </c>
      <c r="D7" s="307" t="s">
        <v>546</v>
      </c>
      <c r="E7" s="307" t="s">
        <v>547</v>
      </c>
      <c r="F7" s="307" t="s">
        <v>548</v>
      </c>
      <c r="G7" s="307"/>
      <c r="H7" s="307" t="s">
        <v>549</v>
      </c>
      <c r="I7" s="307" t="s">
        <v>550</v>
      </c>
      <c r="J7" s="307" t="s">
        <v>548</v>
      </c>
      <c r="K7" s="307"/>
      <c r="L7" s="307" t="s">
        <v>551</v>
      </c>
      <c r="M7" s="307" t="s">
        <v>552</v>
      </c>
      <c r="N7" s="307" t="s">
        <v>548</v>
      </c>
      <c r="O7" s="307"/>
    </row>
    <row r="8" spans="1:15" ht="15" customHeight="1" x14ac:dyDescent="0.25">
      <c r="A8" s="308" t="s">
        <v>178</v>
      </c>
      <c r="B8" s="309">
        <v>4.0000000000000002E-4</v>
      </c>
      <c r="C8" s="310">
        <v>2.5</v>
      </c>
      <c r="D8" s="311">
        <v>5.2157920482707301E-2</v>
      </c>
      <c r="E8" s="311">
        <v>4.16885239719956E-2</v>
      </c>
      <c r="F8" s="311">
        <v>1.0469396510711699E-2</v>
      </c>
      <c r="G8" s="312" t="s">
        <v>553</v>
      </c>
      <c r="H8" s="311">
        <v>7.0611740314014695E-2</v>
      </c>
      <c r="I8" s="311">
        <v>7.0387435331178805E-2</v>
      </c>
      <c r="J8" s="311">
        <v>2.24304982835946E-4</v>
      </c>
      <c r="K8" s="312" t="s">
        <v>553</v>
      </c>
      <c r="L8" s="311">
        <v>0.25100716572884701</v>
      </c>
      <c r="M8" s="311">
        <v>0.25097659877129003</v>
      </c>
      <c r="N8" s="311">
        <v>3.05669575573764E-5</v>
      </c>
      <c r="O8" s="312" t="s">
        <v>553</v>
      </c>
    </row>
    <row r="9" spans="1:15" ht="15" customHeight="1" x14ac:dyDescent="0.25">
      <c r="A9" s="313" t="s">
        <v>179</v>
      </c>
      <c r="B9" s="314">
        <v>3.3E-4</v>
      </c>
      <c r="C9" s="315">
        <v>3.0303030303030298</v>
      </c>
      <c r="D9" s="316">
        <v>3.5447645050075902E-2</v>
      </c>
      <c r="E9" s="316">
        <v>3.3011685552780903E-2</v>
      </c>
      <c r="F9" s="316">
        <v>2.43595949729501E-3</v>
      </c>
      <c r="G9" s="317" t="s">
        <v>553</v>
      </c>
      <c r="H9" s="316">
        <v>4.8395276237173199E-2</v>
      </c>
      <c r="I9" s="316">
        <v>4.8118479814080899E-2</v>
      </c>
      <c r="J9" s="316">
        <v>2.7679642309229302E-4</v>
      </c>
      <c r="K9" s="317" t="s">
        <v>553</v>
      </c>
      <c r="L9" s="316">
        <v>0.193922607997114</v>
      </c>
      <c r="M9" s="316">
        <v>0.193886602907447</v>
      </c>
      <c r="N9" s="316">
        <v>3.6005089667473497E-5</v>
      </c>
      <c r="O9" s="317" t="s">
        <v>553</v>
      </c>
    </row>
    <row r="10" spans="1:15" ht="15" customHeight="1" x14ac:dyDescent="0.25">
      <c r="A10" s="308" t="s">
        <v>180</v>
      </c>
      <c r="B10" s="309">
        <v>2.9999999999999997E-4</v>
      </c>
      <c r="C10" s="310">
        <v>3.3333333333333299</v>
      </c>
      <c r="D10" s="311">
        <v>2.9806053262094699E-2</v>
      </c>
      <c r="E10" s="311">
        <v>2.9475561730707801E-2</v>
      </c>
      <c r="F10" s="311">
        <v>3.3049153138694403E-4</v>
      </c>
      <c r="G10" s="312" t="s">
        <v>553</v>
      </c>
      <c r="H10" s="311">
        <v>4.0025520442103502E-2</v>
      </c>
      <c r="I10" s="311">
        <v>3.9719256694645301E-2</v>
      </c>
      <c r="J10" s="311">
        <v>3.0626374745823499E-4</v>
      </c>
      <c r="K10" s="312" t="s">
        <v>553</v>
      </c>
      <c r="L10" s="311">
        <v>0.171066566764735</v>
      </c>
      <c r="M10" s="311">
        <v>0.17102746871424299</v>
      </c>
      <c r="N10" s="311">
        <v>3.9098050492208902E-5</v>
      </c>
      <c r="O10" s="312" t="s">
        <v>553</v>
      </c>
    </row>
    <row r="11" spans="1:15" ht="15" customHeight="1" x14ac:dyDescent="0.25">
      <c r="A11" s="313" t="s">
        <v>554</v>
      </c>
      <c r="B11" s="314">
        <v>2.0000000000000001E-4</v>
      </c>
      <c r="C11" s="315">
        <v>5</v>
      </c>
      <c r="D11" s="316">
        <v>1.89283357930096E-2</v>
      </c>
      <c r="E11" s="316">
        <v>1.8477982633803E-2</v>
      </c>
      <c r="F11" s="316">
        <v>4.5035315920664203E-4</v>
      </c>
      <c r="G11" s="317" t="s">
        <v>553</v>
      </c>
      <c r="H11" s="316">
        <v>1.89283357930096E-2</v>
      </c>
      <c r="I11" s="316">
        <v>1.8477982633803E-2</v>
      </c>
      <c r="J11" s="316">
        <v>4.5035315920664203E-4</v>
      </c>
      <c r="K11" s="317" t="s">
        <v>553</v>
      </c>
      <c r="L11" s="316">
        <v>0.102385616737676</v>
      </c>
      <c r="M11" s="316">
        <v>0.102329740900197</v>
      </c>
      <c r="N11" s="316">
        <v>5.5875837478805403E-5</v>
      </c>
      <c r="O11" s="317" t="s">
        <v>553</v>
      </c>
    </row>
    <row r="12" spans="1:15" ht="15" customHeight="1" x14ac:dyDescent="0.25">
      <c r="A12" s="308" t="s">
        <v>182</v>
      </c>
      <c r="B12" s="309">
        <v>2.0000000000000002E-5</v>
      </c>
      <c r="C12" s="310">
        <v>50</v>
      </c>
      <c r="D12" s="311">
        <v>5.4100644244834397E-3</v>
      </c>
      <c r="E12" s="311">
        <v>1.64711005083607E-3</v>
      </c>
      <c r="F12" s="311">
        <v>3.7629543736473802E-3</v>
      </c>
      <c r="G12" s="312" t="s">
        <v>553</v>
      </c>
      <c r="H12" s="311">
        <v>5.4100644244834397E-3</v>
      </c>
      <c r="I12" s="311">
        <v>1.64711005083607E-3</v>
      </c>
      <c r="J12" s="311">
        <v>3.7629543736473802E-3</v>
      </c>
      <c r="K12" s="312" t="s">
        <v>553</v>
      </c>
      <c r="L12" s="311">
        <v>1.03915731887331E-2</v>
      </c>
      <c r="M12" s="311">
        <v>8.2325821718454203E-3</v>
      </c>
      <c r="N12" s="311">
        <v>2.1589910168876899E-3</v>
      </c>
      <c r="O12" s="312" t="s">
        <v>553</v>
      </c>
    </row>
    <row r="13" spans="1:15" ht="15" customHeight="1" x14ac:dyDescent="0.25">
      <c r="A13" s="313" t="s">
        <v>183</v>
      </c>
      <c r="B13" s="314">
        <v>5.0000000000000001E-4</v>
      </c>
      <c r="C13" s="315">
        <v>2</v>
      </c>
      <c r="D13" s="316">
        <v>8.0853146355075595E-2</v>
      </c>
      <c r="E13" s="316">
        <v>5.5103355661776501E-2</v>
      </c>
      <c r="F13" s="316">
        <v>2.57497906932991E-2</v>
      </c>
      <c r="G13" s="317" t="s">
        <v>553</v>
      </c>
      <c r="H13" s="316">
        <v>0.108687974561404</v>
      </c>
      <c r="I13" s="316">
        <v>0.108513356043217</v>
      </c>
      <c r="J13" s="316">
        <v>1.7461851818734199E-4</v>
      </c>
      <c r="K13" s="317" t="s">
        <v>553</v>
      </c>
      <c r="L13" s="316">
        <v>0.34053073900275399</v>
      </c>
      <c r="M13" s="316">
        <v>0.34050532544107398</v>
      </c>
      <c r="N13" s="316">
        <v>2.54135616797324E-5</v>
      </c>
      <c r="O13" s="317" t="s">
        <v>553</v>
      </c>
    </row>
    <row r="14" spans="1:15" ht="15" customHeight="1" x14ac:dyDescent="0.25">
      <c r="A14" s="308" t="s">
        <v>184</v>
      </c>
      <c r="B14" s="309">
        <v>5.9999999999999995E-4</v>
      </c>
      <c r="C14" s="310">
        <v>1.6666666666666701</v>
      </c>
      <c r="D14" s="311">
        <v>6.4653029353917604E-2</v>
      </c>
      <c r="E14" s="311">
        <v>6.9666644905277603E-2</v>
      </c>
      <c r="F14" s="311">
        <v>5.0136155513600296E-3</v>
      </c>
      <c r="G14" s="312" t="s">
        <v>553</v>
      </c>
      <c r="H14" s="311">
        <v>0.15121123651014301</v>
      </c>
      <c r="I14" s="311">
        <v>0.153713942815176</v>
      </c>
      <c r="J14" s="311">
        <v>2.5027063050330201E-3</v>
      </c>
      <c r="K14" s="312" t="s">
        <v>553</v>
      </c>
      <c r="L14" s="311">
        <v>0.43680592223042503</v>
      </c>
      <c r="M14" s="311">
        <v>0.43704517123873499</v>
      </c>
      <c r="N14" s="311">
        <v>2.3924900830990501E-4</v>
      </c>
      <c r="O14" s="312" t="s">
        <v>553</v>
      </c>
    </row>
    <row r="15" spans="1:15" ht="15" customHeight="1" x14ac:dyDescent="0.25"/>
    <row r="16" spans="1:15" ht="15" customHeight="1" x14ac:dyDescent="0.25">
      <c r="A16" s="306" t="s">
        <v>555</v>
      </c>
      <c r="B16" s="241"/>
      <c r="C16" s="241"/>
      <c r="D16" s="241"/>
      <c r="E16" s="241"/>
      <c r="F16" s="241"/>
      <c r="G16" s="241"/>
      <c r="H16" s="241"/>
    </row>
    <row r="17" spans="1:9" ht="31.5" customHeight="1" x14ac:dyDescent="0.25">
      <c r="A17" s="307" t="s">
        <v>130</v>
      </c>
      <c r="B17" s="307" t="s">
        <v>133</v>
      </c>
      <c r="C17" s="307" t="s">
        <v>556</v>
      </c>
      <c r="D17" s="307" t="s">
        <v>557</v>
      </c>
      <c r="E17" s="307" t="s">
        <v>558</v>
      </c>
      <c r="F17" s="307" t="s">
        <v>559</v>
      </c>
      <c r="G17" s="307" t="s">
        <v>548</v>
      </c>
      <c r="H17" s="307" t="s">
        <v>560</v>
      </c>
    </row>
    <row r="18" spans="1:9" ht="15" customHeight="1" x14ac:dyDescent="0.25">
      <c r="A18" s="308" t="s">
        <v>178</v>
      </c>
      <c r="B18" s="311">
        <v>7.0611740314014695E-2</v>
      </c>
      <c r="C18" s="318">
        <v>1000</v>
      </c>
      <c r="D18" s="319">
        <v>100</v>
      </c>
      <c r="E18" s="319">
        <v>7061.1740314014696</v>
      </c>
      <c r="F18" s="319">
        <v>7061.1740314014696</v>
      </c>
      <c r="G18" s="320">
        <v>0</v>
      </c>
      <c r="H18" s="312" t="s">
        <v>553</v>
      </c>
    </row>
    <row r="19" spans="1:9" ht="15" customHeight="1" x14ac:dyDescent="0.25">
      <c r="A19" s="313" t="s">
        <v>179</v>
      </c>
      <c r="B19" s="316">
        <v>4.8395276237173199E-2</v>
      </c>
      <c r="C19" s="321">
        <v>1000</v>
      </c>
      <c r="D19" s="322">
        <v>100</v>
      </c>
      <c r="E19" s="322">
        <v>4839.5276237173202</v>
      </c>
      <c r="F19" s="322">
        <v>4839.5276237173202</v>
      </c>
      <c r="G19" s="323">
        <v>0</v>
      </c>
      <c r="H19" s="317" t="s">
        <v>553</v>
      </c>
    </row>
    <row r="20" spans="1:9" ht="15" customHeight="1" x14ac:dyDescent="0.25">
      <c r="A20" s="308" t="s">
        <v>180</v>
      </c>
      <c r="B20" s="311">
        <v>4.0025520442103502E-2</v>
      </c>
      <c r="C20" s="318">
        <v>1000</v>
      </c>
      <c r="D20" s="319">
        <v>100</v>
      </c>
      <c r="E20" s="319">
        <v>4002.5520442103498</v>
      </c>
      <c r="F20" s="319">
        <v>4002.5520442103498</v>
      </c>
      <c r="G20" s="320">
        <v>0</v>
      </c>
      <c r="H20" s="312" t="s">
        <v>553</v>
      </c>
    </row>
    <row r="21" spans="1:9" ht="15" customHeight="1" x14ac:dyDescent="0.25">
      <c r="A21" s="313" t="s">
        <v>554</v>
      </c>
      <c r="B21" s="316">
        <v>1.89283357930096E-2</v>
      </c>
      <c r="C21" s="321">
        <v>1000</v>
      </c>
      <c r="D21" s="322">
        <v>100</v>
      </c>
      <c r="E21" s="322">
        <v>1892.8335793009601</v>
      </c>
      <c r="F21" s="322">
        <v>1892.8335793009601</v>
      </c>
      <c r="G21" s="323">
        <v>0</v>
      </c>
      <c r="H21" s="317" t="s">
        <v>553</v>
      </c>
    </row>
    <row r="22" spans="1:9" ht="15" customHeight="1" x14ac:dyDescent="0.25">
      <c r="A22" s="308" t="s">
        <v>182</v>
      </c>
      <c r="B22" s="311">
        <v>5.4100644244834397E-3</v>
      </c>
      <c r="C22" s="318">
        <v>1000</v>
      </c>
      <c r="D22" s="319">
        <v>100</v>
      </c>
      <c r="E22" s="319">
        <v>541.00644244834405</v>
      </c>
      <c r="F22" s="319">
        <v>541.00644244834405</v>
      </c>
      <c r="G22" s="320">
        <v>1.13686837721616E-13</v>
      </c>
      <c r="H22" s="312" t="s">
        <v>553</v>
      </c>
    </row>
    <row r="23" spans="1:9" ht="15" customHeight="1" x14ac:dyDescent="0.25">
      <c r="A23" s="313" t="s">
        <v>183</v>
      </c>
      <c r="B23" s="316">
        <v>0.108687974561404</v>
      </c>
      <c r="C23" s="321">
        <v>1000</v>
      </c>
      <c r="D23" s="322">
        <v>100</v>
      </c>
      <c r="E23" s="322">
        <v>10868.797456140401</v>
      </c>
      <c r="F23" s="322">
        <v>10868.797456140401</v>
      </c>
      <c r="G23" s="323">
        <v>0</v>
      </c>
      <c r="H23" s="317" t="s">
        <v>553</v>
      </c>
    </row>
    <row r="24" spans="1:9" ht="15" customHeight="1" x14ac:dyDescent="0.25">
      <c r="A24" s="308" t="s">
        <v>184</v>
      </c>
      <c r="B24" s="311">
        <v>0.15121123651014301</v>
      </c>
      <c r="C24" s="318">
        <v>1000</v>
      </c>
      <c r="D24" s="319">
        <v>100</v>
      </c>
      <c r="E24" s="319">
        <v>15121.123651014301</v>
      </c>
      <c r="F24" s="319">
        <v>15121.123651014301</v>
      </c>
      <c r="G24" s="320">
        <v>0</v>
      </c>
      <c r="H24" s="312" t="s">
        <v>553</v>
      </c>
    </row>
    <row r="25" spans="1:9" ht="15" customHeight="1" x14ac:dyDescent="0.25"/>
    <row r="26" spans="1:9" ht="15" customHeight="1" x14ac:dyDescent="0.25">
      <c r="A26" s="306" t="s">
        <v>561</v>
      </c>
      <c r="B26" s="241"/>
      <c r="C26" s="241"/>
      <c r="D26" s="241"/>
      <c r="E26" s="241"/>
      <c r="F26" s="241"/>
      <c r="G26" s="241"/>
      <c r="H26" s="241"/>
      <c r="I26" s="241"/>
    </row>
    <row r="27" spans="1:9" ht="31.5" customHeight="1" x14ac:dyDescent="0.25">
      <c r="A27" s="307" t="s">
        <v>132</v>
      </c>
      <c r="B27" s="307" t="s">
        <v>562</v>
      </c>
      <c r="C27" s="307" t="s">
        <v>563</v>
      </c>
      <c r="D27" s="307" t="s">
        <v>564</v>
      </c>
      <c r="E27" s="307"/>
      <c r="F27" s="307" t="s">
        <v>565</v>
      </c>
      <c r="G27" s="307" t="s">
        <v>566</v>
      </c>
      <c r="H27" s="307"/>
      <c r="I27" s="307" t="s">
        <v>567</v>
      </c>
    </row>
    <row r="28" spans="1:9" ht="15" customHeight="1" x14ac:dyDescent="0.25">
      <c r="A28" s="310">
        <v>1.5</v>
      </c>
      <c r="B28" s="324">
        <v>6.6666666666666696</v>
      </c>
      <c r="C28" s="324">
        <v>6.5333333333333297</v>
      </c>
      <c r="D28" s="324">
        <v>6.5333333333333297</v>
      </c>
      <c r="E28" s="312" t="s">
        <v>553</v>
      </c>
      <c r="F28" s="324">
        <v>2.4011820399529</v>
      </c>
      <c r="G28" s="324">
        <v>2.4011820399529</v>
      </c>
      <c r="H28" s="312" t="s">
        <v>553</v>
      </c>
      <c r="I28" s="325">
        <v>0.65333333333333299</v>
      </c>
    </row>
    <row r="29" spans="1:9" ht="15" customHeight="1" x14ac:dyDescent="0.25">
      <c r="A29" s="315">
        <v>2</v>
      </c>
      <c r="B29" s="326">
        <v>5</v>
      </c>
      <c r="C29" s="326">
        <v>4.9000000000000004</v>
      </c>
      <c r="D29" s="326">
        <v>4.9000000000000004</v>
      </c>
      <c r="E29" s="317" t="s">
        <v>553</v>
      </c>
      <c r="F29" s="326">
        <v>1.4082265400004399</v>
      </c>
      <c r="G29" s="326">
        <v>1.4082265400004399</v>
      </c>
      <c r="H29" s="317" t="s">
        <v>553</v>
      </c>
      <c r="I29" s="327">
        <v>0.49</v>
      </c>
    </row>
    <row r="30" spans="1:9" ht="15" customHeight="1" x14ac:dyDescent="0.25">
      <c r="A30" s="310">
        <v>2.5</v>
      </c>
      <c r="B30" s="324">
        <v>4</v>
      </c>
      <c r="C30" s="324">
        <v>3.92</v>
      </c>
      <c r="D30" s="324">
        <v>3.92</v>
      </c>
      <c r="E30" s="312" t="s">
        <v>553</v>
      </c>
      <c r="F30" s="324">
        <v>0.85814365456493302</v>
      </c>
      <c r="G30" s="324">
        <v>0.85814365456493302</v>
      </c>
      <c r="H30" s="312" t="s">
        <v>553</v>
      </c>
      <c r="I30" s="325">
        <v>0.39200000000000002</v>
      </c>
    </row>
    <row r="31" spans="1:9" ht="15" customHeight="1" x14ac:dyDescent="0.25">
      <c r="A31" s="315">
        <v>3</v>
      </c>
      <c r="B31" s="326">
        <v>3.3333333333333299</v>
      </c>
      <c r="C31" s="326">
        <v>3.2666666666666702</v>
      </c>
      <c r="D31" s="326">
        <v>3.2666666666666702</v>
      </c>
      <c r="E31" s="317" t="s">
        <v>553</v>
      </c>
      <c r="F31" s="326">
        <v>0.51772758003104202</v>
      </c>
      <c r="G31" s="326">
        <v>0.51772758003104202</v>
      </c>
      <c r="H31" s="317" t="s">
        <v>553</v>
      </c>
      <c r="I31" s="327">
        <v>0.32666666666666699</v>
      </c>
    </row>
    <row r="32" spans="1:9" ht="15" customHeight="1" x14ac:dyDescent="0.25">
      <c r="A32" s="310">
        <v>3.5</v>
      </c>
      <c r="B32" s="324">
        <v>2.8571428571428599</v>
      </c>
      <c r="C32" s="324">
        <v>2.8</v>
      </c>
      <c r="D32" s="324">
        <v>2.8</v>
      </c>
      <c r="E32" s="312" t="s">
        <v>553</v>
      </c>
      <c r="F32" s="324">
        <v>0.29128047588574901</v>
      </c>
      <c r="G32" s="324">
        <v>0.29128047588574901</v>
      </c>
      <c r="H32" s="312" t="s">
        <v>553</v>
      </c>
      <c r="I32" s="325">
        <v>0.28000000000000003</v>
      </c>
    </row>
    <row r="33" spans="1:9" ht="15" customHeight="1" x14ac:dyDescent="0.25">
      <c r="A33" s="315">
        <v>4</v>
      </c>
      <c r="B33" s="326">
        <v>2.5</v>
      </c>
      <c r="C33" s="326">
        <v>2.4500000000000002</v>
      </c>
      <c r="D33" s="326">
        <v>2.4500000000000002</v>
      </c>
      <c r="E33" s="317" t="s">
        <v>553</v>
      </c>
      <c r="F33" s="326">
        <v>0.13280324507434699</v>
      </c>
      <c r="G33" s="326">
        <v>0.13280324507434699</v>
      </c>
      <c r="H33" s="317" t="s">
        <v>553</v>
      </c>
      <c r="I33" s="327">
        <v>0.245</v>
      </c>
    </row>
    <row r="34" spans="1:9" ht="15" customHeight="1" x14ac:dyDescent="0.25">
      <c r="A34" s="310">
        <v>4.5999999999999996</v>
      </c>
      <c r="B34" s="324">
        <v>2.1739130434782599</v>
      </c>
      <c r="C34" s="324">
        <v>2.1304347826086998</v>
      </c>
      <c r="D34" s="324">
        <v>2.1304347826086998</v>
      </c>
      <c r="E34" s="312" t="s">
        <v>553</v>
      </c>
      <c r="F34" s="324">
        <v>0</v>
      </c>
      <c r="G34" s="324">
        <v>0</v>
      </c>
      <c r="H34" s="312" t="s">
        <v>553</v>
      </c>
      <c r="I34" s="325">
        <v>0.21304347826087</v>
      </c>
    </row>
    <row r="35" spans="1:9" ht="15" customHeight="1" x14ac:dyDescent="0.25">
      <c r="A35" s="315">
        <v>5</v>
      </c>
      <c r="B35" s="326">
        <v>2</v>
      </c>
      <c r="C35" s="326">
        <v>1.96</v>
      </c>
      <c r="D35" s="326">
        <v>1.96</v>
      </c>
      <c r="E35" s="317" t="s">
        <v>553</v>
      </c>
      <c r="F35" s="326">
        <v>0</v>
      </c>
      <c r="G35" s="326">
        <v>0</v>
      </c>
      <c r="H35" s="317" t="s">
        <v>553</v>
      </c>
      <c r="I35" s="327">
        <v>0.19600000000000001</v>
      </c>
    </row>
    <row r="36" spans="1:9" ht="15" customHeight="1" x14ac:dyDescent="0.25">
      <c r="A36" s="310">
        <v>10</v>
      </c>
      <c r="B36" s="324">
        <v>1</v>
      </c>
      <c r="C36" s="324">
        <v>0.98</v>
      </c>
      <c r="D36" s="324">
        <v>0.98</v>
      </c>
      <c r="E36" s="312" t="s">
        <v>553</v>
      </c>
      <c r="F36" s="324">
        <v>0</v>
      </c>
      <c r="G36" s="324">
        <v>0</v>
      </c>
      <c r="H36" s="312" t="s">
        <v>553</v>
      </c>
      <c r="I36" s="325">
        <v>9.8000000000000004E-2</v>
      </c>
    </row>
    <row r="37" spans="1:9" ht="15" customHeight="1" x14ac:dyDescent="0.25">
      <c r="A37" s="315">
        <v>24</v>
      </c>
      <c r="B37" s="326">
        <v>0.41666666666666702</v>
      </c>
      <c r="C37" s="326">
        <v>0.40833333333333299</v>
      </c>
      <c r="D37" s="326">
        <v>0.40833333333333299</v>
      </c>
      <c r="E37" s="317" t="s">
        <v>553</v>
      </c>
      <c r="F37" s="326">
        <v>0</v>
      </c>
      <c r="G37" s="326">
        <v>0</v>
      </c>
      <c r="H37" s="317" t="s">
        <v>553</v>
      </c>
      <c r="I37" s="327">
        <v>4.0833333333333298E-2</v>
      </c>
    </row>
    <row r="38" spans="1:9" ht="15" customHeight="1" x14ac:dyDescent="0.25"/>
    <row r="39" spans="1:9" ht="15" customHeight="1" x14ac:dyDescent="0.25">
      <c r="A39" s="306" t="s">
        <v>568</v>
      </c>
      <c r="B39" s="241"/>
      <c r="C39" s="241"/>
      <c r="D39" s="241"/>
      <c r="E39" s="241"/>
      <c r="F39" s="241"/>
      <c r="G39" s="241"/>
    </row>
    <row r="40" spans="1:9" ht="31.5" customHeight="1" x14ac:dyDescent="0.25">
      <c r="A40" s="307" t="s">
        <v>130</v>
      </c>
      <c r="B40" s="307" t="s">
        <v>569</v>
      </c>
      <c r="C40" s="307" t="s">
        <v>166</v>
      </c>
      <c r="D40" s="307" t="s">
        <v>570</v>
      </c>
      <c r="E40" s="307" t="s">
        <v>571</v>
      </c>
      <c r="F40" s="307" t="s">
        <v>572</v>
      </c>
      <c r="G40" s="307" t="s">
        <v>560</v>
      </c>
    </row>
    <row r="41" spans="1:9" ht="15" customHeight="1" x14ac:dyDescent="0.25">
      <c r="A41" s="313" t="s">
        <v>178</v>
      </c>
      <c r="B41" s="322">
        <v>5215.7920482707304</v>
      </c>
      <c r="C41" s="322">
        <v>7061.1740314014696</v>
      </c>
      <c r="D41" s="322">
        <v>25100.716572884699</v>
      </c>
      <c r="E41" s="313" t="s">
        <v>573</v>
      </c>
      <c r="F41" s="313" t="s">
        <v>573</v>
      </c>
      <c r="G41" s="317" t="s">
        <v>553</v>
      </c>
    </row>
    <row r="42" spans="1:9" ht="15" customHeight="1" x14ac:dyDescent="0.25">
      <c r="A42" s="308" t="s">
        <v>179</v>
      </c>
      <c r="B42" s="319">
        <v>3544.7645050075898</v>
      </c>
      <c r="C42" s="319">
        <v>4839.5276237173202</v>
      </c>
      <c r="D42" s="319">
        <v>19392.260799711399</v>
      </c>
      <c r="E42" s="308" t="s">
        <v>573</v>
      </c>
      <c r="F42" s="308" t="s">
        <v>573</v>
      </c>
      <c r="G42" s="312" t="s">
        <v>553</v>
      </c>
    </row>
    <row r="43" spans="1:9" ht="15" customHeight="1" x14ac:dyDescent="0.25">
      <c r="A43" s="313" t="s">
        <v>180</v>
      </c>
      <c r="B43" s="322">
        <v>2980.6053262094701</v>
      </c>
      <c r="C43" s="322">
        <v>4002.5520442103498</v>
      </c>
      <c r="D43" s="322">
        <v>17106.6566764735</v>
      </c>
      <c r="E43" s="313" t="s">
        <v>573</v>
      </c>
      <c r="F43" s="313" t="s">
        <v>573</v>
      </c>
      <c r="G43" s="317" t="s">
        <v>553</v>
      </c>
    </row>
    <row r="44" spans="1:9" ht="15" customHeight="1" x14ac:dyDescent="0.25">
      <c r="A44" s="308" t="s">
        <v>554</v>
      </c>
      <c r="B44" s="319">
        <v>1892.8335793009601</v>
      </c>
      <c r="C44" s="319">
        <v>1892.8335793009601</v>
      </c>
      <c r="D44" s="319">
        <v>10238.561673767599</v>
      </c>
      <c r="E44" s="308" t="s">
        <v>573</v>
      </c>
      <c r="F44" s="308" t="s">
        <v>573</v>
      </c>
      <c r="G44" s="312" t="s">
        <v>553</v>
      </c>
    </row>
    <row r="45" spans="1:9" ht="15" customHeight="1" x14ac:dyDescent="0.25">
      <c r="A45" s="313" t="s">
        <v>182</v>
      </c>
      <c r="B45" s="322">
        <v>541.00644244834405</v>
      </c>
      <c r="C45" s="322">
        <v>541.00644244834405</v>
      </c>
      <c r="D45" s="322">
        <v>1039.15731887331</v>
      </c>
      <c r="E45" s="313" t="s">
        <v>573</v>
      </c>
      <c r="F45" s="313" t="s">
        <v>573</v>
      </c>
      <c r="G45" s="317" t="s">
        <v>553</v>
      </c>
    </row>
    <row r="46" spans="1:9" ht="15" customHeight="1" x14ac:dyDescent="0.25">
      <c r="A46" s="308" t="s">
        <v>183</v>
      </c>
      <c r="B46" s="319">
        <v>8085.3146355075596</v>
      </c>
      <c r="C46" s="319">
        <v>10868.797456140401</v>
      </c>
      <c r="D46" s="319">
        <v>34053.073900275398</v>
      </c>
      <c r="E46" s="308" t="s">
        <v>573</v>
      </c>
      <c r="F46" s="308" t="s">
        <v>573</v>
      </c>
      <c r="G46" s="312" t="s">
        <v>553</v>
      </c>
    </row>
    <row r="47" spans="1:9" ht="15" customHeight="1" x14ac:dyDescent="0.25">
      <c r="A47" s="313" t="s">
        <v>184</v>
      </c>
      <c r="B47" s="322">
        <v>6465.30293539176</v>
      </c>
      <c r="C47" s="322">
        <v>15121.123651014301</v>
      </c>
      <c r="D47" s="322">
        <v>43680.592223042499</v>
      </c>
      <c r="E47" s="313" t="s">
        <v>573</v>
      </c>
      <c r="F47" s="313" t="s">
        <v>573</v>
      </c>
      <c r="G47" s="317" t="s">
        <v>553</v>
      </c>
    </row>
    <row r="48" spans="1:9" ht="15" customHeight="1" x14ac:dyDescent="0.25"/>
    <row r="49" spans="1:5" ht="15" customHeight="1" x14ac:dyDescent="0.25">
      <c r="A49" s="328" t="s">
        <v>646</v>
      </c>
      <c r="B49" s="241"/>
      <c r="C49" s="241"/>
      <c r="D49" s="241"/>
      <c r="E49" s="241"/>
    </row>
    <row r="50" spans="1:5" ht="31.5" customHeight="1" x14ac:dyDescent="0.25">
      <c r="A50" s="307" t="s">
        <v>574</v>
      </c>
      <c r="B50" s="307" t="s">
        <v>575</v>
      </c>
      <c r="C50" s="307" t="s">
        <v>576</v>
      </c>
      <c r="D50" s="307" t="s">
        <v>558</v>
      </c>
      <c r="E50" s="307" t="s">
        <v>560</v>
      </c>
    </row>
    <row r="51" spans="1:5" ht="15" customHeight="1" x14ac:dyDescent="0.25">
      <c r="A51" s="313" t="s">
        <v>577</v>
      </c>
      <c r="B51" s="313" t="s">
        <v>578</v>
      </c>
      <c r="C51" s="313">
        <v>10</v>
      </c>
      <c r="D51" s="329">
        <v>10</v>
      </c>
      <c r="E51" s="317" t="s">
        <v>553</v>
      </c>
    </row>
    <row r="52" spans="1:5" ht="15" customHeight="1" x14ac:dyDescent="0.25">
      <c r="A52" s="308" t="s">
        <v>579</v>
      </c>
      <c r="B52" s="308" t="s">
        <v>39</v>
      </c>
      <c r="C52" s="330">
        <v>0.85</v>
      </c>
      <c r="D52" s="330">
        <v>0.85</v>
      </c>
      <c r="E52" s="312" t="s">
        <v>553</v>
      </c>
    </row>
    <row r="53" spans="1:5" ht="15" customHeight="1" x14ac:dyDescent="0.25">
      <c r="A53" s="313" t="s">
        <v>580</v>
      </c>
      <c r="B53" s="313" t="s">
        <v>581</v>
      </c>
      <c r="C53" s="329">
        <v>6.9467046757100901</v>
      </c>
      <c r="D53" s="329">
        <v>6.9467046757100901</v>
      </c>
      <c r="E53" s="317" t="s">
        <v>553</v>
      </c>
    </row>
    <row r="54" spans="1:5" ht="15" customHeight="1" x14ac:dyDescent="0.25">
      <c r="A54" s="308" t="s">
        <v>582</v>
      </c>
      <c r="B54" s="308" t="s">
        <v>583</v>
      </c>
      <c r="C54" s="308">
        <v>1000</v>
      </c>
      <c r="D54" s="308">
        <v>1000</v>
      </c>
      <c r="E54" s="312" t="s">
        <v>553</v>
      </c>
    </row>
    <row r="55" spans="1:5" ht="15" customHeight="1" x14ac:dyDescent="0.25">
      <c r="A55" s="313" t="s">
        <v>584</v>
      </c>
      <c r="B55" s="313" t="s">
        <v>585</v>
      </c>
      <c r="C55" s="313">
        <v>100</v>
      </c>
      <c r="D55" s="329">
        <v>100</v>
      </c>
      <c r="E55" s="317" t="s">
        <v>553</v>
      </c>
    </row>
    <row r="56" spans="1:5" ht="15" customHeight="1" x14ac:dyDescent="0.25">
      <c r="A56" s="308" t="s">
        <v>586</v>
      </c>
      <c r="B56" s="308" t="s">
        <v>39</v>
      </c>
      <c r="C56" s="330">
        <v>0.85</v>
      </c>
      <c r="D56" s="330">
        <v>0.85</v>
      </c>
      <c r="E56" s="312" t="s">
        <v>553</v>
      </c>
    </row>
    <row r="57" spans="1:5" ht="15" customHeight="1" x14ac:dyDescent="0.25">
      <c r="A57" s="313" t="s">
        <v>587</v>
      </c>
      <c r="B57" s="313" t="s">
        <v>583</v>
      </c>
      <c r="C57" s="313">
        <v>1000</v>
      </c>
      <c r="D57" s="313">
        <v>1000</v>
      </c>
      <c r="E57" s="317" t="s">
        <v>553</v>
      </c>
    </row>
    <row r="58" spans="1:5" ht="15" customHeight="1" x14ac:dyDescent="0.25">
      <c r="A58" s="308" t="s">
        <v>588</v>
      </c>
      <c r="B58" s="308" t="s">
        <v>585</v>
      </c>
      <c r="C58" s="308">
        <v>100</v>
      </c>
      <c r="D58" s="330">
        <v>100</v>
      </c>
      <c r="E58" s="312" t="s">
        <v>553</v>
      </c>
    </row>
    <row r="59" spans="1:5" ht="15" customHeight="1" x14ac:dyDescent="0.25">
      <c r="A59" s="313" t="s">
        <v>589</v>
      </c>
      <c r="B59" s="313" t="s">
        <v>590</v>
      </c>
      <c r="C59" s="313">
        <v>10</v>
      </c>
      <c r="D59" s="329">
        <v>10</v>
      </c>
      <c r="E59" s="317" t="s">
        <v>553</v>
      </c>
    </row>
    <row r="60" spans="1:5" ht="15" customHeight="1" x14ac:dyDescent="0.25">
      <c r="A60" s="308" t="s">
        <v>591</v>
      </c>
      <c r="B60" s="308" t="s">
        <v>592</v>
      </c>
      <c r="C60" s="330">
        <v>2.5000000000000001E-2</v>
      </c>
      <c r="D60" s="330">
        <v>2.5000000000000001E-2</v>
      </c>
      <c r="E60" s="312" t="s">
        <v>553</v>
      </c>
    </row>
    <row r="61" spans="1:5" ht="15" customHeight="1" x14ac:dyDescent="0.25">
      <c r="A61" s="313" t="s">
        <v>593</v>
      </c>
      <c r="B61" s="313" t="s">
        <v>583</v>
      </c>
      <c r="C61" s="313">
        <v>1000</v>
      </c>
      <c r="D61" s="313">
        <v>1000</v>
      </c>
      <c r="E61" s="317" t="s">
        <v>553</v>
      </c>
    </row>
    <row r="62" spans="1:5" ht="15" customHeight="1" x14ac:dyDescent="0.25">
      <c r="A62" s="308" t="s">
        <v>594</v>
      </c>
      <c r="B62" s="308" t="s">
        <v>595</v>
      </c>
      <c r="C62" s="308">
        <v>200</v>
      </c>
      <c r="D62" s="308">
        <v>200</v>
      </c>
      <c r="E62" s="312" t="s">
        <v>553</v>
      </c>
    </row>
    <row r="63" spans="1:5" ht="15" customHeight="1" x14ac:dyDescent="0.25">
      <c r="A63" s="313" t="s">
        <v>596</v>
      </c>
      <c r="B63" s="313" t="s">
        <v>585</v>
      </c>
      <c r="C63" s="313">
        <v>100</v>
      </c>
      <c r="D63" s="329">
        <v>100</v>
      </c>
      <c r="E63" s="317" t="s">
        <v>553</v>
      </c>
    </row>
    <row r="64" spans="1:5" ht="15" customHeight="1" x14ac:dyDescent="0.25">
      <c r="A64" s="308" t="s">
        <v>597</v>
      </c>
      <c r="B64" s="308" t="s">
        <v>578</v>
      </c>
      <c r="C64" s="308">
        <v>10</v>
      </c>
      <c r="D64" s="330">
        <v>10</v>
      </c>
      <c r="E64" s="312" t="s">
        <v>553</v>
      </c>
    </row>
    <row r="65" spans="1:12" ht="15" customHeight="1" x14ac:dyDescent="0.25">
      <c r="A65" s="331" t="s">
        <v>647</v>
      </c>
      <c r="B65" s="331" t="s">
        <v>648</v>
      </c>
      <c r="C65" s="332">
        <f>Breakeven!O31</f>
        <v>0.9</v>
      </c>
      <c r="D65" s="332">
        <f>'Range Analysis'!C24</f>
        <v>0.9</v>
      </c>
      <c r="E65" s="333" t="str">
        <f>IF(ABS(C65-D65)&lt;0.001,"PASS","FAIL")</f>
        <v>PASS</v>
      </c>
    </row>
    <row r="66" spans="1:12" ht="15" customHeight="1" x14ac:dyDescent="0.25">
      <c r="A66" s="306" t="s">
        <v>598</v>
      </c>
      <c r="B66" s="241"/>
      <c r="C66" s="241"/>
      <c r="D66" s="241"/>
      <c r="E66" s="241"/>
      <c r="F66" s="241"/>
      <c r="G66" s="241"/>
      <c r="H66" s="241"/>
      <c r="I66" s="241"/>
      <c r="J66" s="241"/>
      <c r="K66" s="241"/>
      <c r="L66" s="241"/>
    </row>
    <row r="67" spans="1:12" ht="31.5" customHeight="1" x14ac:dyDescent="0.25">
      <c r="A67" s="307" t="s">
        <v>130</v>
      </c>
      <c r="B67" s="307" t="s">
        <v>337</v>
      </c>
      <c r="C67" s="307" t="s">
        <v>142</v>
      </c>
      <c r="D67" s="307" t="s">
        <v>143</v>
      </c>
      <c r="E67" s="307" t="s">
        <v>599</v>
      </c>
      <c r="F67" s="307" t="s">
        <v>138</v>
      </c>
      <c r="G67" s="307" t="s">
        <v>213</v>
      </c>
      <c r="H67" s="307" t="s">
        <v>600</v>
      </c>
      <c r="I67" s="307" t="s">
        <v>140</v>
      </c>
      <c r="J67" s="307" t="s">
        <v>601</v>
      </c>
      <c r="K67" s="307" t="s">
        <v>602</v>
      </c>
      <c r="L67" s="307" t="s">
        <v>560</v>
      </c>
    </row>
    <row r="68" spans="1:12" ht="15" customHeight="1" x14ac:dyDescent="0.25">
      <c r="A68" s="308" t="s">
        <v>178</v>
      </c>
      <c r="B68" s="319">
        <v>35000</v>
      </c>
      <c r="C68" s="310">
        <v>1.5</v>
      </c>
      <c r="D68" s="319">
        <v>300000</v>
      </c>
      <c r="E68" s="319">
        <v>42867.771877761501</v>
      </c>
      <c r="F68" s="319">
        <v>150000</v>
      </c>
      <c r="G68" s="319">
        <v>-192867.771877761</v>
      </c>
      <c r="H68" s="319">
        <v>-192867.77187776199</v>
      </c>
      <c r="I68" s="308" t="s">
        <v>603</v>
      </c>
      <c r="J68" s="319">
        <v>354.53443854442799</v>
      </c>
      <c r="K68" s="319">
        <v>236.35629236295199</v>
      </c>
      <c r="L68" s="312" t="s">
        <v>553</v>
      </c>
    </row>
    <row r="69" spans="1:12" ht="15" customHeight="1" x14ac:dyDescent="0.25">
      <c r="A69" s="313" t="s">
        <v>179</v>
      </c>
      <c r="B69" s="322">
        <v>25000</v>
      </c>
      <c r="C69" s="315">
        <v>1.5</v>
      </c>
      <c r="D69" s="322">
        <v>300000</v>
      </c>
      <c r="E69" s="322">
        <v>30263.508494906499</v>
      </c>
      <c r="F69" s="322">
        <v>150000</v>
      </c>
      <c r="G69" s="322">
        <v>-180263.50849490601</v>
      </c>
      <c r="H69" s="322">
        <v>-180263.508494907</v>
      </c>
      <c r="I69" s="313" t="s">
        <v>603</v>
      </c>
      <c r="J69" s="322">
        <v>338.59684182823997</v>
      </c>
      <c r="K69" s="322">
        <v>225.73122788549301</v>
      </c>
      <c r="L69" s="317" t="s">
        <v>553</v>
      </c>
    </row>
    <row r="70" spans="1:12" ht="15" customHeight="1" x14ac:dyDescent="0.25">
      <c r="A70" s="308" t="s">
        <v>180</v>
      </c>
      <c r="B70" s="319">
        <v>50000</v>
      </c>
      <c r="C70" s="310">
        <v>1</v>
      </c>
      <c r="D70" s="319">
        <v>200000</v>
      </c>
      <c r="E70" s="319">
        <v>12868.797456140401</v>
      </c>
      <c r="F70" s="319">
        <v>150000</v>
      </c>
      <c r="G70" s="319">
        <v>-62868.797456140397</v>
      </c>
      <c r="H70" s="319">
        <v>-62868.797456140397</v>
      </c>
      <c r="I70" s="308" t="s">
        <v>603</v>
      </c>
      <c r="J70" s="319">
        <v>229.53546412280701</v>
      </c>
      <c r="K70" s="319">
        <v>229.53546412280701</v>
      </c>
      <c r="L70" s="312" t="s">
        <v>553</v>
      </c>
    </row>
    <row r="71" spans="1:12" ht="15" customHeight="1" x14ac:dyDescent="0.25">
      <c r="A71" s="313" t="s">
        <v>181</v>
      </c>
      <c r="B71" s="322">
        <v>100000</v>
      </c>
      <c r="C71" s="315">
        <v>0.5</v>
      </c>
      <c r="D71" s="322">
        <v>100000</v>
      </c>
      <c r="E71" s="322">
        <v>7436.1928392066802</v>
      </c>
      <c r="F71" s="322">
        <v>150000</v>
      </c>
      <c r="G71" s="322">
        <v>42563.807160793302</v>
      </c>
      <c r="H71" s="322">
        <v>42563.807160793302</v>
      </c>
      <c r="I71" s="313" t="s">
        <v>604</v>
      </c>
      <c r="J71" s="322">
        <v>140.76952617254</v>
      </c>
      <c r="K71" s="322">
        <v>281.53905234507999</v>
      </c>
      <c r="L71" s="317" t="s">
        <v>553</v>
      </c>
    </row>
    <row r="72" spans="1:12" ht="15" customHeight="1" x14ac:dyDescent="0.25">
      <c r="A72" s="308" t="s">
        <v>182</v>
      </c>
      <c r="B72" s="319">
        <v>300000</v>
      </c>
      <c r="C72" s="310">
        <v>1</v>
      </c>
      <c r="D72" s="319">
        <v>200000</v>
      </c>
      <c r="E72" s="319">
        <v>541.00644244837702</v>
      </c>
      <c r="F72" s="319">
        <v>150000</v>
      </c>
      <c r="G72" s="319">
        <v>-50541.006442448401</v>
      </c>
      <c r="H72" s="319">
        <v>-50541.006442448401</v>
      </c>
      <c r="I72" s="308" t="s">
        <v>603</v>
      </c>
      <c r="J72" s="319">
        <v>300.54100644244801</v>
      </c>
      <c r="K72" s="319">
        <v>300.54100644244801</v>
      </c>
      <c r="L72" s="312" t="s">
        <v>553</v>
      </c>
    </row>
    <row r="73" spans="1:12" ht="15" customHeight="1" x14ac:dyDescent="0.25">
      <c r="A73" s="313" t="s">
        <v>271</v>
      </c>
      <c r="B73" s="322">
        <v>30000</v>
      </c>
      <c r="C73" s="315">
        <v>1.5</v>
      </c>
      <c r="D73" s="322">
        <v>300000</v>
      </c>
      <c r="E73" s="322">
        <v>56122.263978298797</v>
      </c>
      <c r="F73" s="322">
        <v>150000</v>
      </c>
      <c r="G73" s="322">
        <v>-206122.26397829899</v>
      </c>
      <c r="H73" s="322">
        <v>-206122.26397829899</v>
      </c>
      <c r="I73" s="313" t="s">
        <v>603</v>
      </c>
      <c r="J73" s="322">
        <v>366.12226397829897</v>
      </c>
      <c r="K73" s="322">
        <v>244.08150931886601</v>
      </c>
      <c r="L73" s="317" t="s">
        <v>553</v>
      </c>
    </row>
    <row r="74" spans="1:12" ht="15" customHeight="1" x14ac:dyDescent="0.25">
      <c r="A74" s="308" t="s">
        <v>184</v>
      </c>
      <c r="B74" s="319">
        <v>40000</v>
      </c>
      <c r="C74" s="310">
        <v>1.5</v>
      </c>
      <c r="D74" s="319">
        <v>300000</v>
      </c>
      <c r="E74" s="319">
        <v>75059.1029260832</v>
      </c>
      <c r="F74" s="319">
        <v>150000</v>
      </c>
      <c r="G74" s="319">
        <v>-225059.102926083</v>
      </c>
      <c r="H74" s="319">
        <v>-225059.102926083</v>
      </c>
      <c r="I74" s="308" t="s">
        <v>603</v>
      </c>
      <c r="J74" s="319">
        <v>388.39243625941702</v>
      </c>
      <c r="K74" s="319">
        <v>258.92829083961101</v>
      </c>
      <c r="L74" s="312" t="s">
        <v>553</v>
      </c>
    </row>
    <row r="75" spans="1:12" ht="15" customHeight="1" x14ac:dyDescent="0.25"/>
    <row r="76" spans="1:12" ht="15" customHeight="1" x14ac:dyDescent="0.25">
      <c r="A76" s="306" t="s">
        <v>605</v>
      </c>
      <c r="B76" s="241"/>
      <c r="C76" s="241"/>
      <c r="D76" s="241"/>
      <c r="E76" s="241"/>
      <c r="F76" s="241"/>
      <c r="G76" s="241"/>
      <c r="H76" s="241"/>
    </row>
    <row r="77" spans="1:12" ht="31.5" customHeight="1" x14ac:dyDescent="0.25">
      <c r="A77" s="307" t="s">
        <v>606</v>
      </c>
      <c r="B77" s="307" t="s">
        <v>607</v>
      </c>
      <c r="C77" s="307" t="s">
        <v>608</v>
      </c>
      <c r="D77" s="307" t="s">
        <v>166</v>
      </c>
      <c r="E77" s="307" t="s">
        <v>558</v>
      </c>
      <c r="F77" s="307" t="s">
        <v>559</v>
      </c>
      <c r="G77" s="307" t="s">
        <v>548</v>
      </c>
      <c r="H77" s="307" t="s">
        <v>560</v>
      </c>
    </row>
    <row r="78" spans="1:12" ht="15" customHeight="1" x14ac:dyDescent="0.25">
      <c r="A78" s="334">
        <v>0.05</v>
      </c>
      <c r="B78" s="319">
        <v>0</v>
      </c>
      <c r="C78" s="319">
        <v>2000</v>
      </c>
      <c r="D78" s="319">
        <v>4936.8349654927797</v>
      </c>
      <c r="E78" s="319">
        <v>6936.8349654927797</v>
      </c>
      <c r="F78" s="319">
        <v>6936.8349654927797</v>
      </c>
      <c r="G78" s="320">
        <v>0</v>
      </c>
      <c r="H78" s="312" t="s">
        <v>553</v>
      </c>
    </row>
    <row r="79" spans="1:12" ht="15" customHeight="1" x14ac:dyDescent="0.25">
      <c r="A79" s="335">
        <v>0.1</v>
      </c>
      <c r="B79" s="322">
        <v>0</v>
      </c>
      <c r="C79" s="322">
        <v>4000</v>
      </c>
      <c r="D79" s="322">
        <v>2765.5604850765699</v>
      </c>
      <c r="E79" s="322">
        <v>6765.5604850765703</v>
      </c>
      <c r="F79" s="322">
        <v>6765.5604850765703</v>
      </c>
      <c r="G79" s="323">
        <v>0</v>
      </c>
      <c r="H79" s="317" t="s">
        <v>553</v>
      </c>
    </row>
    <row r="80" spans="1:12" ht="15" customHeight="1" x14ac:dyDescent="0.25">
      <c r="A80" s="334">
        <v>0.2</v>
      </c>
      <c r="B80" s="319">
        <v>0</v>
      </c>
      <c r="C80" s="319">
        <v>6000</v>
      </c>
      <c r="D80" s="319">
        <v>1892.8335793009601</v>
      </c>
      <c r="E80" s="319">
        <v>7892.8335793009601</v>
      </c>
      <c r="F80" s="319">
        <v>7892.8335793009601</v>
      </c>
      <c r="G80" s="320">
        <v>0</v>
      </c>
      <c r="H80" s="312" t="s">
        <v>553</v>
      </c>
    </row>
    <row r="81" spans="1:5" ht="15" customHeight="1" x14ac:dyDescent="0.25"/>
    <row r="82" spans="1:5" ht="15" customHeight="1" x14ac:dyDescent="0.25">
      <c r="A82" s="306" t="s">
        <v>609</v>
      </c>
      <c r="B82" s="241"/>
      <c r="C82" s="241"/>
      <c r="D82" s="241"/>
      <c r="E82" s="241"/>
    </row>
    <row r="83" spans="1:5" ht="31.5" customHeight="1" x14ac:dyDescent="0.25">
      <c r="A83" s="307" t="s">
        <v>600</v>
      </c>
      <c r="B83" s="307" t="s">
        <v>559</v>
      </c>
      <c r="C83" s="307" t="s">
        <v>558</v>
      </c>
      <c r="D83" s="307" t="s">
        <v>560</v>
      </c>
      <c r="E83" s="307"/>
    </row>
    <row r="84" spans="1:5" ht="15" customHeight="1" x14ac:dyDescent="0.25">
      <c r="A84" s="308" t="s">
        <v>610</v>
      </c>
      <c r="B84" s="308">
        <v>2</v>
      </c>
      <c r="C84" s="308">
        <v>2</v>
      </c>
      <c r="D84" s="312" t="s">
        <v>553</v>
      </c>
      <c r="E84" s="308"/>
    </row>
    <row r="85" spans="1:5" ht="15" customHeight="1" x14ac:dyDescent="0.25">
      <c r="A85" s="313" t="s">
        <v>611</v>
      </c>
      <c r="B85" s="313">
        <v>1</v>
      </c>
      <c r="C85" s="313">
        <v>1</v>
      </c>
      <c r="D85" s="317" t="s">
        <v>553</v>
      </c>
      <c r="E85" s="313"/>
    </row>
    <row r="86" spans="1:5" ht="15" customHeight="1" x14ac:dyDescent="0.25">
      <c r="A86" s="308" t="s">
        <v>612</v>
      </c>
      <c r="B86" s="308" t="s">
        <v>613</v>
      </c>
      <c r="C86" s="308" t="s">
        <v>614</v>
      </c>
      <c r="D86" s="308" t="s">
        <v>615</v>
      </c>
      <c r="E86" s="336" t="s">
        <v>616</v>
      </c>
    </row>
    <row r="87" spans="1:5" ht="15" customHeight="1" x14ac:dyDescent="0.25">
      <c r="A87" s="313" t="s">
        <v>617</v>
      </c>
      <c r="B87" s="313" t="s">
        <v>618</v>
      </c>
      <c r="C87" s="313" t="s">
        <v>619</v>
      </c>
      <c r="D87" s="313" t="s">
        <v>620</v>
      </c>
      <c r="E87" s="317" t="s">
        <v>553</v>
      </c>
    </row>
    <row r="88" spans="1:5" ht="15" customHeight="1" x14ac:dyDescent="0.25"/>
    <row r="89" spans="1:5" ht="15" customHeight="1" x14ac:dyDescent="0.25"/>
    <row r="90" spans="1:5" ht="18.75" customHeight="1" x14ac:dyDescent="0.3">
      <c r="A90" s="337" t="s">
        <v>621</v>
      </c>
      <c r="B90" s="241"/>
      <c r="C90" s="241"/>
      <c r="D90" s="241"/>
      <c r="E90" s="241"/>
    </row>
    <row r="91" spans="1:5" ht="15" customHeight="1" x14ac:dyDescent="0.25">
      <c r="A91" s="338" t="s">
        <v>622</v>
      </c>
      <c r="B91" s="412" t="str">
        <f>"✅ ZERO ERRORS — ALL "&amp;TEXT(B93,"#,##0")&amp;" CHECKS PASSED"</f>
        <v>✅ ZERO ERRORS — ALL 5,716 CHECKS PASSED</v>
      </c>
      <c r="C91" s="413"/>
      <c r="D91" s="413"/>
      <c r="E91" s="413"/>
    </row>
    <row r="92" spans="1:5" ht="15" customHeight="1" x14ac:dyDescent="0.25">
      <c r="A92" s="338" t="s">
        <v>623</v>
      </c>
      <c r="B92" s="411" t="s">
        <v>624</v>
      </c>
      <c r="C92" s="411"/>
      <c r="D92" s="411"/>
      <c r="E92" s="411"/>
    </row>
    <row r="93" spans="1:5" ht="15" customHeight="1" x14ac:dyDescent="0.25">
      <c r="A93" s="338" t="s">
        <v>625</v>
      </c>
      <c r="B93" s="414">
        <v>5716</v>
      </c>
      <c r="C93" s="411"/>
      <c r="D93" s="411"/>
      <c r="E93" s="411"/>
    </row>
    <row r="94" spans="1:5" ht="15" customHeight="1" x14ac:dyDescent="0.25">
      <c r="A94" s="338" t="s">
        <v>626</v>
      </c>
      <c r="B94" s="411" t="s">
        <v>627</v>
      </c>
      <c r="C94" s="411"/>
      <c r="D94" s="411"/>
      <c r="E94" s="411"/>
    </row>
    <row r="95" spans="1:5" ht="15" customHeight="1" x14ac:dyDescent="0.25">
      <c r="A95" s="338" t="s">
        <v>628</v>
      </c>
      <c r="B95" s="411" t="s">
        <v>627</v>
      </c>
      <c r="C95" s="411"/>
      <c r="D95" s="411"/>
      <c r="E95" s="411"/>
    </row>
    <row r="96" spans="1:5" ht="15" customHeight="1" x14ac:dyDescent="0.25">
      <c r="A96" s="338" t="s">
        <v>629</v>
      </c>
      <c r="B96" s="411" t="s">
        <v>630</v>
      </c>
      <c r="C96" s="411"/>
      <c r="D96" s="411"/>
      <c r="E96" s="411"/>
    </row>
    <row r="97" spans="1:5" ht="15" customHeight="1" x14ac:dyDescent="0.25">
      <c r="A97" s="338" t="s">
        <v>631</v>
      </c>
      <c r="B97" s="411" t="s">
        <v>632</v>
      </c>
      <c r="C97" s="411"/>
      <c r="D97" s="411"/>
      <c r="E97" s="411"/>
    </row>
    <row r="98" spans="1:5" ht="15" customHeight="1" x14ac:dyDescent="0.25">
      <c r="A98" s="338" t="s">
        <v>633</v>
      </c>
      <c r="B98" s="411" t="s">
        <v>634</v>
      </c>
      <c r="C98" s="411"/>
      <c r="D98" s="411"/>
      <c r="E98" s="411"/>
    </row>
    <row r="99" spans="1:5" ht="15" customHeight="1" x14ac:dyDescent="0.25">
      <c r="A99" s="338" t="s">
        <v>19</v>
      </c>
      <c r="B99" s="411" t="s">
        <v>645</v>
      </c>
      <c r="C99" s="411"/>
      <c r="D99" s="411"/>
      <c r="E99" s="411"/>
    </row>
    <row r="100" spans="1:5" ht="15" customHeight="1" x14ac:dyDescent="0.25">
      <c r="A100" s="338" t="s">
        <v>635</v>
      </c>
      <c r="B100" s="411" t="s">
        <v>636</v>
      </c>
      <c r="C100" s="411"/>
      <c r="D100" s="411"/>
      <c r="E100" s="411"/>
    </row>
    <row r="101" spans="1:5" ht="15" customHeight="1" x14ac:dyDescent="0.25">
      <c r="A101" s="338" t="s">
        <v>574</v>
      </c>
      <c r="B101" s="411" t="s">
        <v>637</v>
      </c>
      <c r="C101" s="411"/>
      <c r="D101" s="411"/>
      <c r="E101" s="411"/>
    </row>
    <row r="102" spans="1:5" ht="15" customHeight="1" x14ac:dyDescent="0.25"/>
    <row r="103" spans="1:5" ht="15" customHeight="1" x14ac:dyDescent="0.25"/>
    <row r="104" spans="1:5" ht="15" customHeight="1" x14ac:dyDescent="0.25">
      <c r="A104" s="306" t="s">
        <v>638</v>
      </c>
      <c r="B104" s="241"/>
      <c r="C104" s="241"/>
      <c r="D104" s="241"/>
    </row>
    <row r="105" spans="1:5" ht="15" customHeight="1" x14ac:dyDescent="0.25">
      <c r="A105" s="7" t="s">
        <v>639</v>
      </c>
      <c r="B105" s="159" t="s">
        <v>640</v>
      </c>
    </row>
    <row r="106" spans="1:5" ht="15" customHeight="1" x14ac:dyDescent="0.25">
      <c r="A106" s="163" t="s">
        <v>641</v>
      </c>
      <c r="B106" s="159" t="s">
        <v>642</v>
      </c>
    </row>
  </sheetData>
  <sheetProtection sheet="1" objects="1" scenarios="1"/>
  <mergeCells count="11">
    <mergeCell ref="B91:E91"/>
    <mergeCell ref="B92:E92"/>
    <mergeCell ref="B93:E93"/>
    <mergeCell ref="B94:E94"/>
    <mergeCell ref="B95:E95"/>
    <mergeCell ref="B101:E101"/>
    <mergeCell ref="B96:E96"/>
    <mergeCell ref="B97:E97"/>
    <mergeCell ref="B98:E98"/>
    <mergeCell ref="B99:E99"/>
    <mergeCell ref="B100:E100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5"/>
  <sheetViews>
    <sheetView topLeftCell="A9" zoomScaleNormal="100" workbookViewId="0">
      <selection activeCell="P8" sqref="P8"/>
    </sheetView>
  </sheetViews>
  <sheetFormatPr defaultColWidth="8.7109375" defaultRowHeight="15" x14ac:dyDescent="0.25"/>
  <cols>
    <col min="1" max="12" width="13" customWidth="1"/>
  </cols>
  <sheetData>
    <row r="1" spans="1:14" ht="50.25" customHeight="1" x14ac:dyDescent="0.25">
      <c r="A1" s="396" t="s">
        <v>115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8"/>
    </row>
    <row r="2" spans="1:14" ht="15" customHeight="1" thickBot="1" x14ac:dyDescent="0.3">
      <c r="A2" s="393" t="s">
        <v>116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5"/>
    </row>
    <row r="3" spans="1:14" ht="18" customHeight="1" x14ac:dyDescent="0.25">
      <c r="A3" s="99" t="s">
        <v>117</v>
      </c>
      <c r="B3" s="100" t="str">
        <f>TEXT(Dashboard!B14*100,"0.000")&amp;"%"</f>
        <v>0.100%</v>
      </c>
      <c r="C3" s="100" t="s">
        <v>118</v>
      </c>
      <c r="D3" s="100" t="str">
        <f>TEXT(Dashboard!B11*100,"0")&amp;"%"</f>
        <v>89%</v>
      </c>
      <c r="E3" s="100" t="s">
        <v>119</v>
      </c>
      <c r="F3" s="100" t="str">
        <f>TEXT(Dashboard!B7,"$#,##0")&amp;"/hr"</f>
        <v>$200/hr</v>
      </c>
      <c r="G3" s="100" t="s">
        <v>120</v>
      </c>
      <c r="H3" s="100" t="str">
        <f>TEXT(Dashboard!B10,"#,##0")</f>
        <v>500</v>
      </c>
      <c r="I3" s="100" t="s">
        <v>121</v>
      </c>
      <c r="J3" s="100" t="str">
        <f>Dashboard!B18</f>
        <v>No</v>
      </c>
      <c r="K3" s="100" t="s">
        <v>122</v>
      </c>
      <c r="L3" s="100" t="str">
        <f>TEXT(Dashboard!B22,"$#,##0")</f>
        <v>$300</v>
      </c>
      <c r="M3" s="101"/>
      <c r="N3" s="102"/>
    </row>
    <row r="4" spans="1:14" ht="15" customHeight="1" x14ac:dyDescent="0.25">
      <c r="A4" s="103" t="s">
        <v>123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5"/>
      <c r="N4" s="106"/>
    </row>
    <row r="5" spans="1:14" ht="30" customHeight="1" x14ac:dyDescent="0.25">
      <c r="A5" s="399" t="str">
        <f>IF(Dashboard!B81&lt;1,"⚠ NO MACHINES AVAILABLE",IF(Dashboard!B83&lt;=0,"⚠ "&amp;Dashboard!C83&amp;" — LEAST LOSS: $"&amp;TEXT(ABS(Dashboard!B83),"#,##0")&amp;"/yr","✔ "&amp;UPPER(Dashboard!C83)&amp;" — $"&amp;TEXT(Dashboard!B83,"#,##0")&amp;"/yr PROFIT"))</f>
        <v>✔ UCM AUTOMATED — $57,006/yr PROFIT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1"/>
    </row>
    <row r="6" spans="1:14" ht="75" customHeight="1" x14ac:dyDescent="0.25">
      <c r="A6" s="387" t="str">
        <f>"At "&amp;TEXT(Dashboard!B14*100,"0.000")&amp;"% tolerance, "&amp;TEXT(Dashboard!B11*100,"0")&amp;"% EOPR, "&amp;TEXT(Dashboard!B10,"#,##0")&amp;" cals/yr at $"&amp;TEXT(Dashboard!B7,"#,##0")&amp;"/hr: "&amp;TEXT(Dashboard!B82,"0")&amp;" of "&amp;TEXT(Dashboard!B81,"0")&amp;" available machines are profitable (M6). "&amp;IF(Dashboard!B83&gt;-9999999,"Best: "&amp;Dashboard!C83&amp;" at $"&amp;TEXT(ABS(Dashboard!B83),"#,##0")&amp;"/yr "&amp;IF(Dashboard!B83&gt;=0,"profit","loss")&amp;IF(AND(ISNUMBER(Dashboard!D83),Dashboard!D83&gt;0,Dashboard!D83&lt;100),", "&amp;TEXT(Dashboard!D83,"0.0")&amp;"-yr payback. ",". "),"No machines available. ")&amp;IF(AND(Dashboard!B84&lt;9999999,Dashboard!C84&lt;&gt;Dashboard!C83),"Worst available: "&amp;Dashboard!C84&amp;" at $"&amp;TEXT(ABS(Dashboard!B84),"#,##0")&amp;"/yr "&amp;IF(Dashboard!B84&gt;=0,"profit.","loss."),"")</f>
        <v>At 0.100% tolerance, 89% EOPR, 500 cals/yr at $200/hr: 7 of 7 available machines are profitable (M6). Best: UCM Automated at $57,006/yr profit, 1.8-yr payback. Worst available: Deadweight at $29,722/yr profit.</v>
      </c>
      <c r="B6" s="388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9"/>
    </row>
    <row r="7" spans="1:14" ht="27.75" customHeight="1" x14ac:dyDescent="0.25">
      <c r="A7" s="402" t="str">
        <f>IF(Dashboard!B81&lt;1,"No machines available at this force.",_xlfn.LET(_xlpm.bestProfit,Dashboard!B83,_xlpm.bestName,Dashboard!C83,_xlpm.bestPayback,Dashboard!D83,_xlpm.profitArr,Dashboard!H74:'Dashboard'!H80,_xlpm.secondBest,LARGE(_xlpm.profitArr,2),_xlpm.secondName,INDEX(Dashboard!A74:'Dashboard'!A80,MATCH(_xlpm.secondBest,_xlpm.profitArr,0)),_xlpm.savings,_xlpm.bestProfit-_xlpm.secondBest,"Best option: "&amp;_xlpm.bestName&amp;" at $"&amp;TEXT(ABS(_xlpm.bestProfit),"#,##0")&amp;"/yr "&amp;IF(_xlpm.bestProfit&gt;=0,"profit","loss")&amp;IF(AND(ISNUMBER(_xlpm.bestPayback),_xlpm.bestPayback&gt;0,_xlpm.bestPayback&lt;100),", "&amp;TEXT(_xlpm.bestPayback,"0.0")&amp;"-yr payback","")&amp;". "&amp;IF(Dashboard!B81&gt;=2,IF(_xlpm.secondBest&gt;-9999999,"Saves $"&amp;TEXT(_xlpm.savings,"#,##0")&amp;"/yr vs next best ("&amp;_xlpm.secondName&amp;").","Only one viable machine."),"Only one viable machine.")))</f>
        <v>Best option: UCM Automated at $57,006/yr profit, 1.8-yr payback. Saves $792/yr vs next best (PCM).</v>
      </c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4"/>
    </row>
    <row r="8" spans="1:14" ht="27.75" customHeight="1" x14ac:dyDescent="0.25">
      <c r="A8" s="387" t="str">
        <f>IF(Dashboard!B81&lt;2,"Not enough available machines to compare.",_xlfn.LET(_xlpm.bestProfit,Dashboard!B83,_xlpm.bestName,Dashboard!C83,_xlpm.worstProfit,Dashboard!B84,_xlpm.worstName,Dashboard!C84,_xlpm.totalSpread,_xlpm.bestProfit-_xlpm.worstProfit,_xlpm.bestPayback,Dashboard!D83,IF(_xlpm.bestName=_xlpm.worstName,"Only one available machine — no upgrade comparison.","Switching from "&amp;_xlpm.worstName&amp;" ("&amp;IF(_xlpm.worstProfit&gt;=0,"$"&amp;TEXT(_xlpm.worstProfit,"#,##0")&amp;" profit","$"&amp;TEXT(ABS(_xlpm.worstProfit),"#,##0")&amp;" loss")&amp;") to "&amp;_xlpm.bestName&amp;" ("&amp;IF(_xlpm.bestProfit&gt;=0,"$"&amp;TEXT(_xlpm.bestProfit,"#,##0")&amp;" profit","$"&amp;TEXT(ABS(_xlpm.bestProfit),"#,##0")&amp;" loss")&amp;") saves $"&amp;TEXT(_xlpm.totalSpread,"#,##0")&amp;"/yr"&amp;IF(AND(ISNUMBER(_xlpm.bestPayback),_xlpm.bestPayback&gt;0,_xlpm.bestPayback&lt;100),", payback in "&amp;TEXT(_xlpm.bestPayback,"0.0")&amp;" years.","."))))</f>
        <v>Switching from Deadweight ($29,722 profit) to UCM Automated ($57,006 profit) saves $27,283/yr, payback in 1.8 years.</v>
      </c>
      <c r="B8" s="388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9"/>
    </row>
    <row r="9" spans="1:14" ht="27.75" customHeight="1" x14ac:dyDescent="0.25">
      <c r="A9" s="387"/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9"/>
    </row>
    <row r="10" spans="1:14" ht="56.25" customHeight="1" x14ac:dyDescent="0.25">
      <c r="A10" s="390" t="str">
        <f>"TUR range: "&amp;TEXT(Dashboard!B85,"0.0")&amp;":1 to "&amp;TEXT(Dashboard!B86,"0.0")&amp;":1"&amp;" ("&amp;TEXT(Dashboard!B81,"0")&amp;" machines available). "&amp;IF(Dashboard!B85&lt;2,"WARNING: At least one available machine below TUR 2:1. ","")&amp;IF(Dashboard!$B$15&gt;Dashboard!$W$26,"PCM not available above "&amp;TEXT(Dashboard!$W$26,"#,##0")&amp;" lbf. ","")&amp;IF(Dashboard!$B$15&gt;Dashboard!$W$25,"BCM not available above "&amp;TEXT(Dashboard!$W$25,"#,##0")&amp;" lbf. ","")&amp;IF(Dashboard!B18="Yes","Swapping active — swap cost may dominate.","")</f>
        <v xml:space="preserve">TUR range: 1.7:1 to 50.0:1 (7 machines available). WARNING: At least one available machine below TUR 2:1. </v>
      </c>
      <c r="B10" s="391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2"/>
    </row>
    <row r="11" spans="1:14" ht="15" customHeight="1" x14ac:dyDescent="0.25">
      <c r="A11" s="107" t="s">
        <v>124</v>
      </c>
      <c r="B11" s="3"/>
      <c r="C11" s="3"/>
      <c r="D11" s="3"/>
      <c r="E11" s="3"/>
      <c r="F11" s="3"/>
      <c r="G11" s="108" t="s">
        <v>125</v>
      </c>
      <c r="H11" s="108" t="s">
        <v>125</v>
      </c>
      <c r="I11" s="3"/>
      <c r="J11" s="3"/>
      <c r="K11" s="3"/>
      <c r="L11" s="3"/>
      <c r="M11" s="3"/>
      <c r="N11" s="22"/>
    </row>
    <row r="12" spans="1:14" ht="15" customHeight="1" x14ac:dyDescent="0.25">
      <c r="A12" s="10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22"/>
    </row>
    <row r="13" spans="1:14" ht="15" customHeight="1" x14ac:dyDescent="0.25">
      <c r="A13" s="109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22"/>
    </row>
    <row r="14" spans="1:14" ht="15" customHeight="1" x14ac:dyDescent="0.25">
      <c r="A14" s="109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22"/>
    </row>
    <row r="15" spans="1:14" ht="15" customHeight="1" x14ac:dyDescent="0.25">
      <c r="A15" s="109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22"/>
    </row>
    <row r="16" spans="1:14" ht="15" customHeight="1" x14ac:dyDescent="0.25">
      <c r="A16" s="10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22"/>
    </row>
    <row r="17" spans="1:14" ht="15" customHeight="1" x14ac:dyDescent="0.25">
      <c r="A17" s="109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22"/>
    </row>
    <row r="18" spans="1:14" ht="15" customHeight="1" x14ac:dyDescent="0.25">
      <c r="A18" s="10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22"/>
    </row>
    <row r="19" spans="1:14" ht="15" customHeight="1" x14ac:dyDescent="0.25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22"/>
    </row>
    <row r="20" spans="1:14" ht="15" customHeight="1" x14ac:dyDescent="0.25">
      <c r="A20" s="10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22"/>
    </row>
    <row r="21" spans="1:14" ht="15" customHeight="1" x14ac:dyDescent="0.25">
      <c r="A21" s="10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22"/>
    </row>
    <row r="22" spans="1:14" ht="15" customHeight="1" x14ac:dyDescent="0.25">
      <c r="A22" s="10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22"/>
    </row>
    <row r="23" spans="1:14" ht="15" customHeight="1" x14ac:dyDescent="0.25">
      <c r="A23" s="109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2"/>
    </row>
    <row r="24" spans="1:14" ht="15" customHeight="1" x14ac:dyDescent="0.25">
      <c r="A24" s="10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22"/>
    </row>
    <row r="25" spans="1:14" ht="15" customHeight="1" x14ac:dyDescent="0.25">
      <c r="A25" s="109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22"/>
    </row>
    <row r="26" spans="1:14" ht="15" customHeight="1" x14ac:dyDescent="0.25">
      <c r="A26" s="109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2"/>
    </row>
    <row r="27" spans="1:14" ht="15" customHeight="1" x14ac:dyDescent="0.25">
      <c r="A27" s="109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22"/>
    </row>
    <row r="28" spans="1:14" ht="15" customHeight="1" x14ac:dyDescent="0.25">
      <c r="A28" s="107"/>
      <c r="B28" s="3"/>
      <c r="C28" s="3"/>
      <c r="D28" s="3"/>
      <c r="E28" s="3"/>
      <c r="F28" s="3"/>
      <c r="G28" s="108"/>
      <c r="H28" s="3"/>
      <c r="I28" s="3"/>
      <c r="J28" s="3"/>
      <c r="K28" s="3"/>
      <c r="L28" s="3"/>
      <c r="M28" s="3"/>
      <c r="N28" s="22"/>
    </row>
    <row r="29" spans="1:14" ht="15" customHeight="1" x14ac:dyDescent="0.25">
      <c r="A29" s="107"/>
      <c r="B29" s="3"/>
      <c r="C29" s="3"/>
      <c r="D29" s="3"/>
      <c r="E29" s="3"/>
      <c r="F29" s="3"/>
      <c r="G29" s="108"/>
      <c r="H29" s="3"/>
      <c r="I29" s="3"/>
      <c r="J29" s="3"/>
      <c r="K29" s="3"/>
      <c r="L29" s="3"/>
      <c r="M29" s="3"/>
      <c r="N29" s="22"/>
    </row>
    <row r="30" spans="1:14" ht="15" customHeight="1" x14ac:dyDescent="0.25">
      <c r="A30" s="10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22"/>
    </row>
    <row r="31" spans="1:14" ht="15" customHeight="1" x14ac:dyDescent="0.25">
      <c r="A31" s="107"/>
      <c r="B31" s="3"/>
      <c r="C31" s="3"/>
      <c r="D31" s="3"/>
      <c r="E31" s="3"/>
      <c r="F31" s="3"/>
      <c r="G31" s="108"/>
      <c r="H31" s="3"/>
      <c r="I31" s="3"/>
      <c r="J31" s="3"/>
      <c r="K31" s="3"/>
      <c r="L31" s="3"/>
      <c r="M31" s="3"/>
      <c r="N31" s="22"/>
    </row>
    <row r="32" spans="1:14" ht="15" customHeight="1" x14ac:dyDescent="0.25">
      <c r="A32" s="10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22"/>
    </row>
    <row r="33" spans="1:14" ht="15" customHeight="1" x14ac:dyDescent="0.25">
      <c r="A33" s="10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2"/>
    </row>
    <row r="34" spans="1:14" ht="15" customHeight="1" x14ac:dyDescent="0.25">
      <c r="A34" s="10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22"/>
    </row>
    <row r="35" spans="1:14" ht="15" customHeight="1" x14ac:dyDescent="0.25">
      <c r="A35" s="109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22"/>
    </row>
    <row r="36" spans="1:14" ht="15" customHeight="1" x14ac:dyDescent="0.25">
      <c r="A36" s="107" t="s">
        <v>126</v>
      </c>
      <c r="B36" s="3"/>
      <c r="C36" s="3"/>
      <c r="D36" s="3"/>
      <c r="E36" s="3"/>
      <c r="F36" s="3"/>
      <c r="G36" s="108" t="s">
        <v>127</v>
      </c>
      <c r="H36" s="3"/>
      <c r="I36" s="3"/>
      <c r="J36" s="3"/>
      <c r="K36" s="3"/>
      <c r="L36" s="3"/>
      <c r="M36" s="3"/>
      <c r="N36" s="22"/>
    </row>
    <row r="37" spans="1:14" ht="15" customHeight="1" x14ac:dyDescent="0.25">
      <c r="A37" s="109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22"/>
    </row>
    <row r="38" spans="1:14" ht="15" customHeight="1" x14ac:dyDescent="0.25">
      <c r="A38" s="109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22"/>
    </row>
    <row r="39" spans="1:14" ht="15" customHeight="1" x14ac:dyDescent="0.25">
      <c r="A39" s="109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22"/>
    </row>
    <row r="40" spans="1:14" ht="15" customHeight="1" x14ac:dyDescent="0.25">
      <c r="A40" s="109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22"/>
    </row>
    <row r="41" spans="1:14" ht="15" customHeight="1" x14ac:dyDescent="0.25">
      <c r="A41" s="109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22"/>
    </row>
    <row r="42" spans="1:14" ht="15" customHeight="1" x14ac:dyDescent="0.25">
      <c r="A42" s="109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22"/>
    </row>
    <row r="43" spans="1:14" ht="15" customHeight="1" x14ac:dyDescent="0.25">
      <c r="A43" s="109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22"/>
    </row>
    <row r="44" spans="1:14" ht="15" customHeight="1" x14ac:dyDescent="0.25">
      <c r="A44" s="109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22"/>
    </row>
    <row r="45" spans="1:14" ht="15" customHeight="1" x14ac:dyDescent="0.25">
      <c r="A45" s="109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22"/>
    </row>
    <row r="46" spans="1:14" ht="15" customHeight="1" x14ac:dyDescent="0.25">
      <c r="A46" s="10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22"/>
    </row>
    <row r="47" spans="1:14" ht="15" customHeight="1" x14ac:dyDescent="0.25">
      <c r="A47" s="107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22"/>
    </row>
    <row r="48" spans="1:14" ht="15" customHeight="1" x14ac:dyDescent="0.25">
      <c r="A48" s="109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22"/>
    </row>
    <row r="49" spans="1:14" ht="15" customHeight="1" x14ac:dyDescent="0.25">
      <c r="A49" s="109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22"/>
    </row>
    <row r="50" spans="1:14" ht="15" customHeight="1" x14ac:dyDescent="0.25">
      <c r="A50" s="10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22"/>
    </row>
    <row r="51" spans="1:14" ht="15" customHeight="1" x14ac:dyDescent="0.25">
      <c r="A51" s="107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22"/>
    </row>
    <row r="52" spans="1:14" ht="15" customHeight="1" x14ac:dyDescent="0.25">
      <c r="A52" s="10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22"/>
    </row>
    <row r="53" spans="1:14" ht="15" customHeight="1" x14ac:dyDescent="0.25">
      <c r="A53" s="10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22"/>
    </row>
    <row r="54" spans="1:14" ht="15" customHeight="1" x14ac:dyDescent="0.25">
      <c r="A54" s="109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22"/>
    </row>
    <row r="55" spans="1:14" ht="15" customHeight="1" x14ac:dyDescent="0.25">
      <c r="A55" s="10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22"/>
    </row>
    <row r="56" spans="1:14" ht="15" customHeight="1" x14ac:dyDescent="0.25">
      <c r="A56" s="109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22"/>
    </row>
    <row r="57" spans="1:14" ht="15" customHeight="1" x14ac:dyDescent="0.25">
      <c r="A57" s="10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22"/>
    </row>
    <row r="58" spans="1:14" ht="15" customHeight="1" x14ac:dyDescent="0.25">
      <c r="A58" s="109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22"/>
    </row>
    <row r="59" spans="1:14" ht="15" customHeight="1" x14ac:dyDescent="0.25">
      <c r="A59" s="10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22"/>
    </row>
    <row r="60" spans="1:14" ht="15" customHeight="1" x14ac:dyDescent="0.25">
      <c r="A60" s="109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22"/>
    </row>
    <row r="61" spans="1:14" ht="15" customHeight="1" x14ac:dyDescent="0.25">
      <c r="A61" s="107" t="s">
        <v>128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22"/>
    </row>
    <row r="62" spans="1:14" ht="15" customHeight="1" x14ac:dyDescent="0.25">
      <c r="A62" s="110" t="s">
        <v>644</v>
      </c>
      <c r="B62" s="111" t="s">
        <v>272</v>
      </c>
      <c r="C62" s="111" t="s">
        <v>190</v>
      </c>
      <c r="D62" s="111" t="s">
        <v>84</v>
      </c>
      <c r="E62" s="3"/>
      <c r="F62" s="3"/>
      <c r="G62" s="3"/>
      <c r="H62" s="3"/>
      <c r="I62" s="3"/>
      <c r="J62" s="3"/>
      <c r="K62" s="3"/>
      <c r="L62" s="3"/>
      <c r="M62" s="3"/>
      <c r="N62" s="22"/>
    </row>
    <row r="63" spans="1:14" ht="15" customHeight="1" x14ac:dyDescent="0.25">
      <c r="A63" s="109" t="str">
        <f>Breakeven!A41</f>
        <v>BCM</v>
      </c>
      <c r="B63" s="3">
        <f>IFERROR(IF(Breakeven!C41="N/A",0,Breakeven!C41),0)</f>
        <v>231.04484297861273</v>
      </c>
      <c r="C63" s="3">
        <f>IFERROR(IF(Breakeven!D41="N/A",0,Breakeven!D41),0)</f>
        <v>253.79969463091402</v>
      </c>
      <c r="D63" s="3">
        <f>IFERROR(IF(Breakeven!E41="N/A",0,Breakeven!E41),0)</f>
        <v>389.0469109222509</v>
      </c>
      <c r="E63" s="3"/>
      <c r="F63" s="3"/>
      <c r="G63" s="3"/>
      <c r="H63" s="3"/>
      <c r="I63" s="3"/>
      <c r="J63" s="3"/>
      <c r="K63" s="3"/>
      <c r="L63" s="3"/>
      <c r="M63" s="3"/>
      <c r="N63" s="22"/>
    </row>
    <row r="64" spans="1:14" ht="15" customHeight="1" x14ac:dyDescent="0.25">
      <c r="A64" s="109" t="str">
        <f>Breakeven!A42</f>
        <v>PCM</v>
      </c>
      <c r="B64" s="3">
        <f>IFERROR(IF(Breakeven!C42="N/A",0,Breakeven!C42),0)</f>
        <v>311.31246025569345</v>
      </c>
      <c r="C64" s="3">
        <f>IFERROR(IF(Breakeven!D42="N/A",0,Breakeven!D42),0)</f>
        <v>315.93306631580361</v>
      </c>
      <c r="D64" s="3">
        <f>IFERROR(IF(Breakeven!E42="N/A",0,Breakeven!E42),0)</f>
        <v>371.27601052288372</v>
      </c>
      <c r="E64" s="3"/>
      <c r="F64" s="3"/>
      <c r="G64" s="3"/>
      <c r="H64" s="3"/>
      <c r="I64" s="3"/>
      <c r="J64" s="3"/>
      <c r="K64" s="3"/>
      <c r="L64" s="3"/>
      <c r="M64" s="3"/>
      <c r="N64" s="22"/>
    </row>
    <row r="65" spans="1:15" ht="15" customHeight="1" x14ac:dyDescent="0.25">
      <c r="A65" s="109" t="str">
        <f>Breakeven!A43</f>
        <v>UCM Manual</v>
      </c>
      <c r="B65" s="3">
        <f>IFERROR(IF(Breakeven!C43="N/A",0,Breakeven!C43),0)</f>
        <v>538.68256881573518</v>
      </c>
      <c r="C65" s="3">
        <f>IFERROR(IF(Breakeven!D43="N/A",0,Breakeven!D43),0)</f>
        <v>545.18340145656532</v>
      </c>
      <c r="D65" s="3">
        <f>IFERROR(IF(Breakeven!E43="N/A",0,Breakeven!E43),0)</f>
        <v>649.50684147760069</v>
      </c>
      <c r="E65" s="3"/>
      <c r="F65" s="3"/>
      <c r="G65" s="3"/>
      <c r="H65" s="3"/>
      <c r="I65" s="3"/>
      <c r="J65" s="3"/>
      <c r="K65" s="3"/>
      <c r="L65" s="3"/>
      <c r="M65" s="3"/>
      <c r="N65" s="22"/>
    </row>
    <row r="66" spans="1:15" ht="15" customHeight="1" x14ac:dyDescent="0.25">
      <c r="A66" s="109" t="str">
        <f>Breakeven!A44</f>
        <v>UCM Automated</v>
      </c>
      <c r="B66" s="3">
        <f>IFERROR(IF(Breakeven!C44="N/A",0,Breakeven!C44),0)</f>
        <v>881.54541951325939</v>
      </c>
      <c r="C66" s="3">
        <f>IFERROR(IF(Breakeven!D44="N/A",0,Breakeven!D44),0)</f>
        <v>884.42548496084839</v>
      </c>
      <c r="D66" s="3">
        <f>IFERROR(IF(Breakeven!E44="N/A",0,Breakeven!E44),0)</f>
        <v>988.44822649507273</v>
      </c>
      <c r="E66" s="3"/>
      <c r="F66" s="3"/>
      <c r="G66" s="3"/>
      <c r="H66" s="3"/>
      <c r="I66" s="3"/>
      <c r="J66" s="3"/>
      <c r="K66" s="3"/>
      <c r="L66" s="3"/>
      <c r="M66" s="3"/>
      <c r="N66" s="22"/>
    </row>
    <row r="67" spans="1:15" ht="88.5" customHeight="1" x14ac:dyDescent="0.25">
      <c r="A67" s="112" t="str">
        <f>Breakeven!A45</f>
        <v>Deadweight</v>
      </c>
      <c r="B67" s="3">
        <f>IFERROR(IF(Breakeven!C45="N/A",0,Breakeven!C45),0)</f>
        <v>5887.8014448269578</v>
      </c>
      <c r="C67" s="3">
        <f>IFERROR(IF(Breakeven!D45="N/A",0,Breakeven!D45),0)</f>
        <v>5887.8014448269578</v>
      </c>
      <c r="D67" s="3">
        <f>IFERROR(IF(Breakeven!E45="N/A",0,Breakeven!E45),0)</f>
        <v>5938.4601350394951</v>
      </c>
      <c r="E67" s="3"/>
      <c r="F67" s="3"/>
      <c r="G67" s="3"/>
      <c r="H67" s="3"/>
      <c r="I67" s="3"/>
      <c r="J67" s="3"/>
      <c r="K67" s="3"/>
      <c r="L67" s="3"/>
      <c r="M67" s="3"/>
      <c r="N67" s="22"/>
    </row>
    <row r="68" spans="1:15" ht="15" customHeight="1" x14ac:dyDescent="0.25">
      <c r="A68" s="109" t="str">
        <f>Breakeven!A46</f>
        <v>Competitor</v>
      </c>
      <c r="B68" s="3">
        <f>IFERROR(IF(Breakeven!C46="N/A",0,Breakeven!C46),0)</f>
        <v>729.41681418738176</v>
      </c>
      <c r="C68" s="3">
        <f>IFERROR(IF(Breakeven!D46="N/A",0,Breakeven!D46),0)</f>
        <v>1667.7255912247626</v>
      </c>
      <c r="D68" s="3">
        <f>IFERROR(IF(Breakeven!E46="N/A",0,Breakeven!E46),0)</f>
        <v>0</v>
      </c>
      <c r="E68" s="3"/>
      <c r="F68" s="3"/>
      <c r="G68" s="3"/>
      <c r="H68" s="3"/>
      <c r="I68" s="3"/>
      <c r="J68" s="3"/>
      <c r="K68" s="3"/>
      <c r="L68" s="3"/>
      <c r="M68" s="3"/>
      <c r="N68" s="22"/>
    </row>
    <row r="69" spans="1:15" ht="15" customHeight="1" x14ac:dyDescent="0.25">
      <c r="A69" s="109" t="str">
        <f>Breakeven!A47</f>
        <v>Competitor 2</v>
      </c>
      <c r="B69" s="3">
        <f>IFERROR(IF(Breakeven!C47="N/A",0,Breakeven!C47),0)</f>
        <v>584.74557382061835</v>
      </c>
      <c r="C69" s="3">
        <f>IFERROR(IF(Breakeven!D47="N/A",0,Breakeven!D47),0)</f>
        <v>4252.147164557754</v>
      </c>
      <c r="D69" s="3">
        <f>IFERROR(IF(Breakeven!E47="N/A",0,Breakeven!E47),0)</f>
        <v>0</v>
      </c>
      <c r="E69" s="3"/>
      <c r="F69" s="3"/>
      <c r="G69" s="3"/>
      <c r="H69" s="3"/>
      <c r="I69" s="3"/>
      <c r="J69" s="3"/>
      <c r="K69" s="3"/>
      <c r="L69" s="3"/>
      <c r="M69" s="3"/>
      <c r="N69" s="22"/>
    </row>
    <row r="70" spans="1:15" ht="15" customHeight="1" x14ac:dyDescent="0.25">
      <c r="A70" s="109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22"/>
    </row>
    <row r="71" spans="1:15" ht="15" customHeight="1" x14ac:dyDescent="0.25">
      <c r="A71" s="109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22"/>
    </row>
    <row r="72" spans="1:15" ht="15" customHeight="1" x14ac:dyDescent="0.25">
      <c r="A72" s="113"/>
      <c r="B72" s="114"/>
      <c r="C72" s="114"/>
      <c r="D72" s="114"/>
      <c r="E72" s="114"/>
      <c r="F72" s="114"/>
      <c r="G72" s="3"/>
      <c r="H72" s="3"/>
      <c r="I72" s="3"/>
      <c r="J72" s="3"/>
      <c r="K72" s="115"/>
      <c r="L72" s="114"/>
      <c r="M72" s="114"/>
      <c r="N72" s="116"/>
      <c r="O72" s="3"/>
    </row>
    <row r="73" spans="1:15" ht="15" customHeight="1" x14ac:dyDescent="0.25">
      <c r="A73" s="117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9"/>
      <c r="O73" s="3"/>
    </row>
    <row r="74" spans="1:15" ht="15" customHeight="1" x14ac:dyDescent="0.25">
      <c r="A74" s="120"/>
      <c r="B74" s="121"/>
      <c r="C74" s="122"/>
      <c r="D74" s="123"/>
      <c r="E74" s="124"/>
      <c r="F74" s="124"/>
      <c r="G74" s="125"/>
      <c r="H74" s="125"/>
      <c r="I74" s="125"/>
      <c r="J74" s="125"/>
      <c r="K74" s="3"/>
      <c r="L74" s="3"/>
      <c r="M74" s="126"/>
      <c r="N74" s="127"/>
      <c r="O74" s="3"/>
    </row>
    <row r="75" spans="1:15" ht="15" customHeight="1" x14ac:dyDescent="0.25">
      <c r="A75" s="21"/>
      <c r="B75" s="128"/>
      <c r="C75" s="129"/>
      <c r="D75" s="130"/>
      <c r="E75" s="131"/>
      <c r="F75" s="131"/>
      <c r="G75" s="131"/>
      <c r="H75" s="131"/>
      <c r="I75" s="131"/>
      <c r="J75" s="131"/>
      <c r="M75" s="132"/>
      <c r="N75" s="133"/>
    </row>
    <row r="76" spans="1:15" ht="15" customHeight="1" x14ac:dyDescent="0.25">
      <c r="A76" s="120"/>
      <c r="B76" s="121"/>
      <c r="C76" s="122"/>
      <c r="D76" s="123"/>
      <c r="E76" s="124"/>
      <c r="F76" s="124"/>
      <c r="G76" s="124"/>
      <c r="H76" s="124"/>
      <c r="I76" s="124"/>
      <c r="J76" s="124"/>
      <c r="K76" s="134"/>
      <c r="L76" s="134"/>
      <c r="M76" s="135"/>
      <c r="N76" s="136"/>
    </row>
    <row r="77" spans="1:15" ht="15" customHeight="1" x14ac:dyDescent="0.25">
      <c r="A77" s="21"/>
      <c r="B77" s="128"/>
      <c r="C77" s="129"/>
      <c r="D77" s="130"/>
      <c r="E77" s="131"/>
      <c r="F77" s="131"/>
      <c r="G77" s="131"/>
      <c r="H77" s="131"/>
      <c r="I77" s="131"/>
      <c r="J77" s="131"/>
      <c r="M77" s="132"/>
      <c r="N77" s="133"/>
    </row>
    <row r="78" spans="1:15" ht="15" customHeight="1" x14ac:dyDescent="0.25">
      <c r="A78" s="120"/>
      <c r="B78" s="121"/>
      <c r="C78" s="122"/>
      <c r="D78" s="123"/>
      <c r="E78" s="124"/>
      <c r="F78" s="124"/>
      <c r="G78" s="124"/>
      <c r="H78" s="124"/>
      <c r="I78" s="124"/>
      <c r="J78" s="124"/>
      <c r="K78" s="134"/>
      <c r="L78" s="134"/>
      <c r="M78" s="135"/>
      <c r="N78" s="136"/>
    </row>
    <row r="79" spans="1:15" ht="15" customHeight="1" x14ac:dyDescent="0.25">
      <c r="A79" s="21"/>
      <c r="B79" s="128"/>
      <c r="C79" s="129"/>
      <c r="D79" s="130"/>
      <c r="E79" s="131"/>
      <c r="F79" s="131"/>
      <c r="G79" s="131"/>
      <c r="H79" s="131"/>
      <c r="I79" s="131"/>
      <c r="J79" s="131"/>
      <c r="M79" s="132"/>
      <c r="N79" s="133"/>
    </row>
    <row r="80" spans="1:15" ht="15" customHeight="1" x14ac:dyDescent="0.25">
      <c r="A80" s="120"/>
      <c r="B80" s="121"/>
      <c r="C80" s="122"/>
      <c r="D80" s="123"/>
      <c r="E80" s="124"/>
      <c r="F80" s="124"/>
      <c r="G80" s="124"/>
      <c r="H80" s="124"/>
      <c r="I80" s="124"/>
      <c r="J80" s="124"/>
      <c r="K80" s="134"/>
      <c r="L80" s="134"/>
      <c r="M80" s="135"/>
      <c r="N80" s="136"/>
    </row>
    <row r="81" spans="1:14" ht="15" customHeight="1" x14ac:dyDescent="0.25">
      <c r="A81" s="21"/>
      <c r="N81" s="22"/>
    </row>
    <row r="82" spans="1:14" ht="15" customHeight="1" x14ac:dyDescent="0.25">
      <c r="A82" s="137"/>
      <c r="N82" s="22"/>
    </row>
    <row r="83" spans="1:14" x14ac:dyDescent="0.25">
      <c r="A83" s="137" t="str">
        <f>"Labor: Hrs/Cal editable on Range Analysis (col C). Includes setup, loading, and documentation. For C+T calibrations, roughly 1.7× single-mode time."</f>
        <v>Labor: Hrs/Cal editable on Range Analysis (col C). Includes setup, loading, and documentation. For C+T calibrations, roughly 1.7× single-mode time.</v>
      </c>
      <c r="N83" s="22"/>
    </row>
    <row r="84" spans="1:14" x14ac:dyDescent="0.25">
      <c r="A84" s="21"/>
      <c r="N84" s="22"/>
    </row>
    <row r="85" spans="1:14" x14ac:dyDescent="0.25">
      <c r="A85" s="113" t="s">
        <v>129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5"/>
      <c r="L85" s="114"/>
      <c r="M85" s="114"/>
      <c r="N85" s="116"/>
    </row>
    <row r="86" spans="1:14" x14ac:dyDescent="0.25">
      <c r="A86" s="138" t="s">
        <v>130</v>
      </c>
      <c r="B86" s="139" t="s">
        <v>131</v>
      </c>
      <c r="C86" s="139" t="s">
        <v>132</v>
      </c>
      <c r="D86" s="139" t="s">
        <v>133</v>
      </c>
      <c r="E86" s="139" t="s">
        <v>134</v>
      </c>
      <c r="F86" s="139" t="s">
        <v>135</v>
      </c>
      <c r="G86" s="139" t="s">
        <v>136</v>
      </c>
      <c r="H86" s="139" t="s">
        <v>137</v>
      </c>
      <c r="I86" s="139" t="s">
        <v>138</v>
      </c>
      <c r="J86" s="139" t="s">
        <v>139</v>
      </c>
      <c r="K86" s="139" t="s">
        <v>140</v>
      </c>
      <c r="L86" s="139" t="s">
        <v>141</v>
      </c>
      <c r="M86" s="139" t="s">
        <v>142</v>
      </c>
      <c r="N86" s="140" t="s">
        <v>143</v>
      </c>
    </row>
    <row r="87" spans="1:14" x14ac:dyDescent="0.25">
      <c r="A87" s="21" t="str">
        <f>Dashboard!A25</f>
        <v>BCM</v>
      </c>
      <c r="B87" s="128">
        <f>Dashboard!B25</f>
        <v>5.0000000000000001E-4</v>
      </c>
      <c r="C87" s="129">
        <f>Dashboard!D25</f>
        <v>2</v>
      </c>
      <c r="D87" s="130">
        <f>Dashboard!N25</f>
        <v>0.10399707531253877</v>
      </c>
      <c r="E87" s="131">
        <f>CHOOSE('Executive Summary'!$I$2,Dashboard!K25,Dashboard!O25,Dashboard!S25,Dashboard!Z25)</f>
        <v>3044.099265312449</v>
      </c>
      <c r="F87" s="131">
        <f>'Range Analysis'!R24</f>
        <v>2000</v>
      </c>
      <c r="G87" s="131">
        <f>'Range Analysis'!S24</f>
        <v>0</v>
      </c>
      <c r="H87" s="131">
        <f>CHOOSE('Executive Summary'!$I$2,'Range Analysis'!T24,'Range Analysis'!U24,'Range Analysis'!V24,Breakeven!S31)</f>
        <v>5044.0992653124486</v>
      </c>
      <c r="I87" s="131">
        <f>Breakeven!C31</f>
        <v>150000</v>
      </c>
      <c r="J87" s="131">
        <f>CHOOSE('Executive Summary'!$I$2,Breakeven!G31,Breakeven!H31,Breakeven!I31,Breakeven!T31)</f>
        <v>54955.900734687544</v>
      </c>
      <c r="K87" t="str">
        <f>IF(CHOOSE('Executive Summary'!$I$2,Breakeven!J31,Breakeven!K31,Breakeven!L31,Breakeven!U31)="Never","Never",TEXT(CHOOSE('Executive Summary'!$I$2,Breakeven!J31,Breakeven!K31,Breakeven!L31,Breakeven!U31),"0.0")&amp;" yr")</f>
        <v>0.5 yr</v>
      </c>
      <c r="L87" t="str">
        <f>IF(Dashboard!$B$15&gt;Dashboard!$W$25,"N/A",IF(Dashboard!D25&gt;=4,"✓ "&amp;TEXT(Dashboard!D25,"0.0"),IF(Dashboard!D25&gt;=2,"⚠ "&amp;TEXT(Dashboard!D25,"0.0"),"✗ "&amp;TEXT(Dashboard!D25,"0.0"))))</f>
        <v>⚠ 2.0</v>
      </c>
      <c r="M87" s="132">
        <f>Breakeven!O31</f>
        <v>0.9</v>
      </c>
      <c r="N87" s="133">
        <f>Breakeven!P31</f>
        <v>90000</v>
      </c>
    </row>
    <row r="88" spans="1:14" x14ac:dyDescent="0.25">
      <c r="A88" s="21" t="str">
        <f>Dashboard!A26</f>
        <v>PCM</v>
      </c>
      <c r="B88" s="128">
        <f>Dashboard!B26</f>
        <v>3.3E-4</v>
      </c>
      <c r="C88" s="129">
        <f>Dashboard!D26</f>
        <v>3.0303030303030303</v>
      </c>
      <c r="D88" s="130">
        <f>Dashboard!N26</f>
        <v>4.4717492451906704E-2</v>
      </c>
      <c r="E88" s="131">
        <f>CHOOSE('Executive Summary'!$I$2,Dashboard!K26,Dashboard!O26,Dashboard!S26,Dashboard!Z26)</f>
        <v>1786.3810988273713</v>
      </c>
      <c r="F88" s="131">
        <f>'Range Analysis'!R25</f>
        <v>2000</v>
      </c>
      <c r="G88" s="131">
        <f>'Range Analysis'!S25</f>
        <v>0</v>
      </c>
      <c r="H88" s="131">
        <f>CHOOSE('Executive Summary'!$I$2,'Range Analysis'!T25,'Range Analysis'!U25,'Range Analysis'!V25,Breakeven!S32)</f>
        <v>3786.3810988273713</v>
      </c>
      <c r="I88" s="131">
        <f>Breakeven!C32</f>
        <v>150000</v>
      </c>
      <c r="J88" s="131">
        <f>CHOOSE('Executive Summary'!$I$2,Breakeven!G32,Breakeven!H32,Breakeven!I32,Breakeven!T32)</f>
        <v>56213.618901172624</v>
      </c>
      <c r="K88" t="str">
        <f>IF(CHOOSE('Executive Summary'!$I$2,Breakeven!J32,Breakeven!K32,Breakeven!L32,Breakeven!U32)="Never","Never",TEXT(CHOOSE('Executive Summary'!$I$2,Breakeven!J32,Breakeven!K32,Breakeven!L32,Breakeven!U32),"0.0")&amp;" yr")</f>
        <v>0.6 yr</v>
      </c>
      <c r="L88" t="str">
        <f>IF(Dashboard!$B$15&gt;Dashboard!$W$26,"N/A",IF(Dashboard!D26&gt;=4,"✓ "&amp;TEXT(Dashboard!D26,"0.0"),IF(Dashboard!D26&gt;=2,"⚠ "&amp;TEXT(Dashboard!D26,"0.0"),"✗ "&amp;TEXT(Dashboard!D26,"0.0"))))</f>
        <v>⚠ 3.0</v>
      </c>
      <c r="M88" s="132">
        <f>Breakeven!O32</f>
        <v>0.9</v>
      </c>
      <c r="N88" s="133">
        <f>Breakeven!P32</f>
        <v>90000</v>
      </c>
    </row>
    <row r="89" spans="1:14" x14ac:dyDescent="0.25">
      <c r="A89" s="21" t="str">
        <f>Dashboard!A27</f>
        <v>UCM Manual</v>
      </c>
      <c r="B89" s="128">
        <f>Dashboard!B27</f>
        <v>2.9999999999999997E-4</v>
      </c>
      <c r="C89" s="129">
        <f>Dashboard!D27</f>
        <v>3.3333333333333335</v>
      </c>
      <c r="D89" s="130">
        <f>Dashboard!N27</f>
        <v>3.675208641849248E-2</v>
      </c>
      <c r="E89" s="131">
        <f>CHOOSE('Executive Summary'!$I$2,Dashboard!K27,Dashboard!O27,Dashboard!S27,Dashboard!Z27)</f>
        <v>1590.4789810422815</v>
      </c>
      <c r="F89" s="131">
        <f>'Range Analysis'!R26</f>
        <v>2000</v>
      </c>
      <c r="G89" s="131">
        <f>'Range Analysis'!S26</f>
        <v>0</v>
      </c>
      <c r="H89" s="131">
        <f>CHOOSE('Executive Summary'!$I$2,'Range Analysis'!T26,'Range Analysis'!U26,'Range Analysis'!V26,Breakeven!S33)</f>
        <v>3590.4789810422817</v>
      </c>
      <c r="I89" s="131">
        <f>Breakeven!C33</f>
        <v>150000</v>
      </c>
      <c r="J89" s="131">
        <f>CHOOSE('Executive Summary'!$I$2,Breakeven!G33,Breakeven!H33,Breakeven!I33,Breakeven!T33)</f>
        <v>46409.521018957719</v>
      </c>
      <c r="K89" t="str">
        <f>IF(CHOOSE('Executive Summary'!$I$2,Breakeven!J33,Breakeven!K33,Breakeven!L33,Breakeven!U33)="Never","Never",TEXT(CHOOSE('Executive Summary'!$I$2,Breakeven!J33,Breakeven!K33,Breakeven!L33,Breakeven!U33),"0.0")&amp;" yr")</f>
        <v>1.1 yr</v>
      </c>
      <c r="L89" t="str">
        <f>IF(Dashboard!$B$15&gt;Dashboard!$W$27,"N/A",IF(Dashboard!D27&gt;=4,"✓ "&amp;TEXT(Dashboard!D27,"0.0"),IF(Dashboard!D27&gt;=2,"⚠ "&amp;TEXT(Dashboard!D27,"0.0"),"✗ "&amp;TEXT(Dashboard!D27,"0.0"))))</f>
        <v>⚠ 3.3</v>
      </c>
      <c r="M89" s="132">
        <f>Breakeven!O33</f>
        <v>1</v>
      </c>
      <c r="N89" s="133">
        <f>Breakeven!P33</f>
        <v>100000</v>
      </c>
    </row>
    <row r="90" spans="1:14" x14ac:dyDescent="0.25">
      <c r="A90" s="21" t="str">
        <f>Dashboard!A28</f>
        <v>UCM Automated</v>
      </c>
      <c r="B90" s="128">
        <f>Dashboard!B28</f>
        <v>2.0000000000000001E-4</v>
      </c>
      <c r="C90" s="129">
        <f>Dashboard!D28</f>
        <v>5</v>
      </c>
      <c r="D90" s="130">
        <f>Dashboard!N28</f>
        <v>1.704487401950161E-2</v>
      </c>
      <c r="E90" s="131">
        <f>CHOOSE('Executive Summary'!$I$2,Dashboard!K28,Dashboard!O28,Dashboard!S28,Dashboard!Z28)</f>
        <v>994.28431780426058</v>
      </c>
      <c r="F90" s="131">
        <f>'Range Analysis'!R27</f>
        <v>2000</v>
      </c>
      <c r="G90" s="131">
        <f>'Range Analysis'!S27</f>
        <v>0</v>
      </c>
      <c r="H90" s="131">
        <f>CHOOSE('Executive Summary'!$I$2,'Range Analysis'!T27,'Range Analysis'!U27,'Range Analysis'!V27,Breakeven!S34)</f>
        <v>2994.2843178042604</v>
      </c>
      <c r="I90" s="131">
        <f>Breakeven!C34</f>
        <v>150000</v>
      </c>
      <c r="J90" s="131">
        <f>CHOOSE('Executive Summary'!$I$2,Breakeven!G34,Breakeven!H34,Breakeven!I34,Breakeven!T34)</f>
        <v>57005.715682195732</v>
      </c>
      <c r="K90" t="str">
        <f>IF(CHOOSE('Executive Summary'!$I$2,Breakeven!J34,Breakeven!K34,Breakeven!L34,Breakeven!U34)="Never","Never",TEXT(CHOOSE('Executive Summary'!$I$2,Breakeven!J34,Breakeven!K34,Breakeven!L34,Breakeven!U34),"0.0")&amp;" yr")</f>
        <v>1.8 yr</v>
      </c>
      <c r="L90" t="str">
        <f>IF(Dashboard!$B$15&gt;Dashboard!$W$28,"N/A",IF(Dashboard!D28&gt;=4,"✓ "&amp;TEXT(Dashboard!D28,"0.0"),IF(Dashboard!D28&gt;=2,"⚠ "&amp;TEXT(Dashboard!D28,"0.0"),"✗ "&amp;TEXT(Dashboard!D28,"0.0"))))</f>
        <v>✓ 5.0</v>
      </c>
      <c r="M90" s="132">
        <f>Breakeven!O34</f>
        <v>0.9</v>
      </c>
      <c r="N90" s="133">
        <f>Breakeven!P34</f>
        <v>90000</v>
      </c>
    </row>
    <row r="91" spans="1:14" x14ac:dyDescent="0.25">
      <c r="A91" s="21" t="str">
        <f>Dashboard!A29</f>
        <v>Deadweight</v>
      </c>
      <c r="B91" s="128">
        <f>Dashboard!B29</f>
        <v>2.0000000000000002E-5</v>
      </c>
      <c r="C91" s="129">
        <f>Dashboard!D29</f>
        <v>50</v>
      </c>
      <c r="D91" s="130">
        <f>Dashboard!N29</f>
        <v>4.7576624123262246E-3</v>
      </c>
      <c r="E91" s="131">
        <f>CHOOSE('Executive Summary'!$I$2,Dashboard!K29,Dashboard!O29,Dashboard!S29,Dashboard!Z29)</f>
        <v>277.53030738569646</v>
      </c>
      <c r="F91" s="131">
        <f>'Range Analysis'!R28</f>
        <v>0</v>
      </c>
      <c r="G91" s="131">
        <f>'Range Analysis'!S28</f>
        <v>0</v>
      </c>
      <c r="H91" s="131">
        <f>CHOOSE('Executive Summary'!$I$2,'Range Analysis'!T28,'Range Analysis'!U28,'Range Analysis'!V28,Breakeven!S35)</f>
        <v>277.53030738569646</v>
      </c>
      <c r="I91" s="131">
        <f>Breakeven!C35</f>
        <v>150000</v>
      </c>
      <c r="J91" s="131">
        <f>CHOOSE('Executive Summary'!$I$2,Breakeven!G35,Breakeven!H35,Breakeven!I35,Breakeven!T35)</f>
        <v>29722.469692614308</v>
      </c>
      <c r="K91" t="str">
        <f>IF(CHOOSE('Executive Summary'!$I$2,Breakeven!J35,Breakeven!K35,Breakeven!L35,Breakeven!U35)="Never","Never",TEXT(CHOOSE('Executive Summary'!$I$2,Breakeven!J35,Breakeven!K35,Breakeven!L35,Breakeven!U35),"0.0")&amp;" yr")</f>
        <v>11.8 yr</v>
      </c>
      <c r="L91" t="str">
        <f>IF(Dashboard!$B$15&gt;Dashboard!$W$29,"N/A",IF(Dashboard!D29&gt;=4,"✓ "&amp;TEXT(Dashboard!D29,"0.0"),IF(Dashboard!D29&gt;=2,"⚠ "&amp;TEXT(Dashboard!D29,"0.0"),"✗ "&amp;TEXT(Dashboard!D29,"0.0"))))</f>
        <v>✓ 50.0</v>
      </c>
      <c r="M91" s="132">
        <f>Breakeven!O35</f>
        <v>1.2</v>
      </c>
      <c r="N91" s="133">
        <f>Breakeven!P35</f>
        <v>120000</v>
      </c>
    </row>
    <row r="92" spans="1:14" x14ac:dyDescent="0.25">
      <c r="A92" s="21" t="str">
        <f>Dashboard!A30</f>
        <v>Competitor 1</v>
      </c>
      <c r="B92" s="128">
        <f>Dashboard!B30</f>
        <v>5.0000000000000001E-4</v>
      </c>
      <c r="C92" s="129">
        <f>Dashboard!D30</f>
        <v>2</v>
      </c>
      <c r="D92" s="130">
        <f>Dashboard!N30</f>
        <v>0.10399707531253877</v>
      </c>
      <c r="E92" s="131">
        <f>CHOOSE('Executive Summary'!$I$2,Dashboard!K30,Dashboard!O30,Dashboard!S30,Dashboard!Z30)</f>
        <v>3044.099265312449</v>
      </c>
      <c r="F92" s="131">
        <f>'Range Analysis'!R29</f>
        <v>2000</v>
      </c>
      <c r="G92" s="131">
        <f>'Range Analysis'!S29</f>
        <v>0</v>
      </c>
      <c r="H92" s="131">
        <f>CHOOSE('Executive Summary'!$I$2,'Range Analysis'!T29,'Range Analysis'!U29,'Range Analysis'!V29,Breakeven!S36)</f>
        <v>5044.0992653124486</v>
      </c>
      <c r="I92" s="131">
        <f>Breakeven!C36</f>
        <v>150000</v>
      </c>
      <c r="J92" s="131">
        <f>CHOOSE('Executive Summary'!$I$2,Breakeven!G36,Breakeven!H36,Breakeven!I36,Breakeven!T36)</f>
        <v>44955.900734687544</v>
      </c>
      <c r="K92" t="str">
        <f>IF(CHOOSE('Executive Summary'!$I$2,Breakeven!J36,Breakeven!K36,Breakeven!L36,Breakeven!U36)="Never","Never",TEXT(CHOOSE('Executive Summary'!$I$2,Breakeven!J36,Breakeven!K36,Breakeven!L36,Breakeven!U36),"0.0")&amp;" yr")</f>
        <v>1.2 yr</v>
      </c>
      <c r="L92" t="str">
        <f>IF(Dashboard!$B$15&gt;Dashboard!$W$30,"N/A",IF(Dashboard!D30&gt;=4,"✓ "&amp;TEXT(Dashboard!D30,"0.0"),IF(Dashboard!D30&gt;=2,"⚠ "&amp;TEXT(Dashboard!D30,"0.0"),"✗ "&amp;TEXT(Dashboard!D30,"0.0"))))</f>
        <v>⚠ 2.0</v>
      </c>
      <c r="M92" s="132">
        <f>Breakeven!O36</f>
        <v>1</v>
      </c>
      <c r="N92" s="133">
        <f>Breakeven!P36</f>
        <v>100000</v>
      </c>
    </row>
    <row r="93" spans="1:14" x14ac:dyDescent="0.25">
      <c r="A93" s="21" t="str">
        <f>Dashboard!A31</f>
        <v>Competitor 2</v>
      </c>
      <c r="B93" s="128">
        <f>Dashboard!B31</f>
        <v>5.9999999999999995E-4</v>
      </c>
      <c r="C93" s="129">
        <f>Dashboard!D31</f>
        <v>1.6666666666666667</v>
      </c>
      <c r="D93" s="130">
        <f>Dashboard!N31</f>
        <v>0.14766791359990505</v>
      </c>
      <c r="E93" s="131">
        <f>CHOOSE('Executive Summary'!$I$2,Dashboard!K31,Dashboard!O31,Dashboard!S31,Dashboard!Z31)</f>
        <v>3632.0294509074747</v>
      </c>
      <c r="F93" s="131">
        <f>'Range Analysis'!R30</f>
        <v>2000</v>
      </c>
      <c r="G93" s="131">
        <f>'Range Analysis'!S30</f>
        <v>0</v>
      </c>
      <c r="H93" s="131">
        <f>CHOOSE('Executive Summary'!$I$2,'Range Analysis'!T30,'Range Analysis'!U30,'Range Analysis'!V30,Breakeven!S37)</f>
        <v>5632.0294509074747</v>
      </c>
      <c r="I93" s="131">
        <f>Breakeven!C37</f>
        <v>150000</v>
      </c>
      <c r="J93" s="131">
        <f>CHOOSE('Executive Summary'!$I$2,Breakeven!G37,Breakeven!H37,Breakeven!I37,Breakeven!T37)</f>
        <v>44367.970549092512</v>
      </c>
      <c r="K93" t="str">
        <f>IF(CHOOSE('Executive Summary'!$I$2,Breakeven!J37,Breakeven!K37,Breakeven!L37,Breakeven!U37)="Never","Never",TEXT(CHOOSE('Executive Summary'!$I$2,Breakeven!J37,Breakeven!K37,Breakeven!L37,Breakeven!U37),"0.0")&amp;" yr")</f>
        <v>0.9 yr</v>
      </c>
      <c r="L93" t="str">
        <f>IF(Dashboard!$B$15&gt;Dashboard!$W$31,"N/A",IF(Dashboard!D31&gt;=4,"✓ "&amp;TEXT(Dashboard!D31,"0.0"),IF(Dashboard!D31&gt;=2,"⚠ "&amp;TEXT(Dashboard!D31,"0.0"),"✗ "&amp;TEXT(Dashboard!D31,"0.0"))))</f>
        <v>✗ 1.7</v>
      </c>
      <c r="M93" s="132">
        <f>Breakeven!O37</f>
        <v>1</v>
      </c>
      <c r="N93" s="133">
        <f>Breakeven!P37</f>
        <v>100000</v>
      </c>
    </row>
    <row r="94" spans="1:14" x14ac:dyDescent="0.25">
      <c r="A94" s="21"/>
      <c r="N94" s="22"/>
    </row>
    <row r="95" spans="1:14" ht="15.75" thickBot="1" x14ac:dyDescent="0.3">
      <c r="A95" s="98" t="s">
        <v>144</v>
      </c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7"/>
    </row>
  </sheetData>
  <sheetProtection sheet="1" objects="1" scenarios="1" sort="0" autoFilter="0"/>
  <mergeCells count="7">
    <mergeCell ref="A8:N9"/>
    <mergeCell ref="A10:N10"/>
    <mergeCell ref="A2:N2"/>
    <mergeCell ref="A1:N1"/>
    <mergeCell ref="A5:N5"/>
    <mergeCell ref="A6:N6"/>
    <mergeCell ref="A7:N7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6573B"/>
  </sheetPr>
  <dimension ref="A1:G100"/>
  <sheetViews>
    <sheetView topLeftCell="A10" zoomScaleNormal="100" workbookViewId="0">
      <selection activeCell="H19" sqref="H19"/>
    </sheetView>
  </sheetViews>
  <sheetFormatPr defaultColWidth="8.7109375" defaultRowHeight="15" x14ac:dyDescent="0.25"/>
  <cols>
    <col min="1" max="1" width="3" customWidth="1"/>
    <col min="2" max="2" width="28" customWidth="1"/>
    <col min="3" max="3" width="80" customWidth="1"/>
    <col min="4" max="4" width="22" customWidth="1"/>
  </cols>
  <sheetData>
    <row r="1" spans="1:7" ht="15" customHeight="1" x14ac:dyDescent="0.25">
      <c r="A1" s="1"/>
      <c r="B1" s="1"/>
      <c r="C1" s="1"/>
      <c r="D1" s="1"/>
      <c r="E1" s="1"/>
      <c r="F1" s="1"/>
      <c r="G1" s="1"/>
    </row>
    <row r="2" spans="1:7" ht="15" customHeight="1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"/>
      <c r="C3" s="1"/>
      <c r="D3" s="1"/>
      <c r="E3" s="1"/>
      <c r="F3" s="1"/>
      <c r="G3" s="1"/>
    </row>
    <row r="4" spans="1:7" ht="15" customHeight="1" x14ac:dyDescent="0.25">
      <c r="A4" s="1"/>
      <c r="B4" s="1"/>
      <c r="C4" s="1"/>
      <c r="D4" s="1"/>
      <c r="E4" s="1"/>
      <c r="F4" s="1"/>
      <c r="G4" s="1"/>
    </row>
    <row r="5" spans="1:7" ht="60" customHeight="1" x14ac:dyDescent="0.3">
      <c r="A5" s="1"/>
      <c r="B5" s="141" t="s">
        <v>0</v>
      </c>
      <c r="C5" s="142"/>
      <c r="D5" s="142"/>
      <c r="E5" s="1"/>
      <c r="F5" s="1"/>
      <c r="G5" s="1"/>
    </row>
    <row r="6" spans="1:7" ht="15" customHeight="1" x14ac:dyDescent="0.25">
      <c r="A6" s="1"/>
      <c r="B6" s="143" t="s">
        <v>1</v>
      </c>
      <c r="C6" s="142"/>
      <c r="D6" s="142"/>
      <c r="E6" s="1"/>
      <c r="F6" s="1"/>
      <c r="G6" s="1"/>
    </row>
    <row r="7" spans="1:7" ht="15" customHeight="1" x14ac:dyDescent="0.25">
      <c r="A7" s="1"/>
      <c r="B7" s="144" t="s">
        <v>2</v>
      </c>
      <c r="C7" s="142"/>
      <c r="D7" s="142"/>
      <c r="E7" s="1"/>
      <c r="F7" s="1"/>
      <c r="G7" s="1"/>
    </row>
    <row r="8" spans="1:7" ht="15" customHeight="1" x14ac:dyDescent="0.25">
      <c r="A8" s="1"/>
      <c r="B8" s="145" t="s">
        <v>3</v>
      </c>
      <c r="C8" s="142"/>
      <c r="D8" s="142"/>
      <c r="E8" s="1"/>
      <c r="F8" s="1"/>
      <c r="G8" s="1"/>
    </row>
    <row r="9" spans="1:7" ht="15" customHeight="1" x14ac:dyDescent="0.25">
      <c r="A9" s="1"/>
      <c r="B9" s="142"/>
      <c r="C9" s="142"/>
      <c r="D9" s="142"/>
      <c r="E9" s="1"/>
      <c r="F9" s="1"/>
      <c r="G9" s="1"/>
    </row>
    <row r="10" spans="1:7" ht="15" customHeight="1" x14ac:dyDescent="0.25">
      <c r="A10" s="1"/>
      <c r="B10" s="146" t="s">
        <v>4</v>
      </c>
      <c r="C10" s="142"/>
      <c r="D10" s="142"/>
      <c r="E10" s="1"/>
      <c r="F10" s="1"/>
      <c r="G10" s="1"/>
    </row>
    <row r="11" spans="1:7" ht="15" customHeight="1" x14ac:dyDescent="0.25">
      <c r="A11" s="1"/>
      <c r="B11" s="147" t="s">
        <v>5</v>
      </c>
      <c r="C11" s="148" t="s">
        <v>6</v>
      </c>
      <c r="D11" s="142"/>
      <c r="E11" s="1"/>
      <c r="F11" s="1"/>
      <c r="G11" s="1"/>
    </row>
    <row r="12" spans="1:7" ht="15" customHeight="1" x14ac:dyDescent="0.25">
      <c r="A12" s="1"/>
      <c r="B12" s="148" t="s">
        <v>7</v>
      </c>
      <c r="C12" s="148" t="s">
        <v>8</v>
      </c>
      <c r="D12" s="142"/>
      <c r="E12" s="1"/>
      <c r="F12" s="1"/>
      <c r="G12" s="1"/>
    </row>
    <row r="13" spans="1:7" ht="15" customHeight="1" x14ac:dyDescent="0.25">
      <c r="A13" s="1"/>
      <c r="B13" s="149" t="s">
        <v>679</v>
      </c>
      <c r="C13" s="150" t="s">
        <v>9</v>
      </c>
      <c r="D13" s="142"/>
      <c r="E13" s="1"/>
      <c r="F13" s="1"/>
      <c r="G13" s="1"/>
    </row>
    <row r="14" spans="1:7" ht="15" customHeight="1" x14ac:dyDescent="0.25">
      <c r="A14" s="1"/>
      <c r="B14" s="145" t="s">
        <v>10</v>
      </c>
      <c r="C14" s="148" t="s">
        <v>11</v>
      </c>
      <c r="D14" s="142"/>
      <c r="E14" s="1"/>
      <c r="F14" s="1"/>
      <c r="G14" s="1"/>
    </row>
    <row r="15" spans="1:7" ht="15" customHeight="1" x14ac:dyDescent="0.25">
      <c r="A15" s="1"/>
      <c r="B15" s="142"/>
      <c r="C15" s="142"/>
      <c r="D15" s="142"/>
      <c r="E15" s="1"/>
      <c r="F15" s="1"/>
      <c r="G15" s="1"/>
    </row>
    <row r="16" spans="1:7" ht="15" customHeight="1" x14ac:dyDescent="0.25">
      <c r="A16" s="1"/>
      <c r="B16" s="146" t="s">
        <v>12</v>
      </c>
      <c r="C16" s="142"/>
      <c r="D16" s="142"/>
      <c r="E16" s="1"/>
      <c r="F16" s="1"/>
      <c r="G16" s="1"/>
    </row>
    <row r="17" spans="1:7" ht="56.25" customHeight="1" x14ac:dyDescent="0.25">
      <c r="A17" s="1"/>
      <c r="B17" s="151" t="s">
        <v>13</v>
      </c>
      <c r="C17" s="405" t="s">
        <v>14</v>
      </c>
      <c r="D17" s="405"/>
      <c r="E17" s="1"/>
      <c r="F17" s="1"/>
      <c r="G17" s="1"/>
    </row>
    <row r="18" spans="1:7" ht="28.5" customHeight="1" x14ac:dyDescent="0.25">
      <c r="A18" s="1"/>
      <c r="B18" s="152" t="s">
        <v>15</v>
      </c>
      <c r="C18" s="407" t="s">
        <v>16</v>
      </c>
      <c r="D18" s="407"/>
      <c r="E18" s="1"/>
      <c r="F18" s="1"/>
      <c r="G18" s="1"/>
    </row>
    <row r="19" spans="1:7" ht="54" customHeight="1" x14ac:dyDescent="0.25">
      <c r="A19" s="1"/>
      <c r="B19" s="151" t="s">
        <v>17</v>
      </c>
      <c r="C19" s="405" t="s">
        <v>18</v>
      </c>
      <c r="D19" s="405"/>
      <c r="E19" s="1"/>
      <c r="F19" s="1"/>
      <c r="G19" s="1"/>
    </row>
    <row r="20" spans="1:7" ht="15" customHeight="1" x14ac:dyDescent="0.25">
      <c r="A20" s="1"/>
      <c r="B20" s="153"/>
      <c r="C20" s="142"/>
      <c r="D20" s="142"/>
      <c r="E20" s="1"/>
      <c r="F20" s="1"/>
      <c r="G20" s="1"/>
    </row>
    <row r="21" spans="1:7" ht="30" customHeight="1" x14ac:dyDescent="0.25">
      <c r="A21" s="1"/>
      <c r="B21" s="151" t="s">
        <v>19</v>
      </c>
      <c r="C21" s="408" t="s">
        <v>20</v>
      </c>
      <c r="D21" s="408"/>
      <c r="E21" s="1"/>
      <c r="F21" s="1"/>
      <c r="G21" s="1"/>
    </row>
    <row r="22" spans="1:7" ht="15" customHeight="1" x14ac:dyDescent="0.25">
      <c r="A22" s="1"/>
      <c r="B22" s="153"/>
      <c r="C22" s="142"/>
      <c r="D22" s="142"/>
      <c r="E22" s="1"/>
      <c r="F22" s="1"/>
      <c r="G22" s="1"/>
    </row>
    <row r="23" spans="1:7" ht="30" customHeight="1" x14ac:dyDescent="0.25">
      <c r="A23" s="1"/>
      <c r="B23" s="151" t="s">
        <v>21</v>
      </c>
      <c r="C23" s="408" t="s">
        <v>22</v>
      </c>
      <c r="D23" s="408"/>
      <c r="E23" s="1"/>
      <c r="F23" s="1"/>
      <c r="G23" s="1"/>
    </row>
    <row r="24" spans="1:7" ht="15" customHeight="1" x14ac:dyDescent="0.25">
      <c r="A24" s="1"/>
      <c r="B24" s="153"/>
      <c r="C24" s="142"/>
      <c r="D24" s="142"/>
      <c r="E24" s="1"/>
      <c r="F24" s="1"/>
      <c r="G24" s="1"/>
    </row>
    <row r="25" spans="1:7" ht="30" customHeight="1" x14ac:dyDescent="0.25">
      <c r="A25" s="1"/>
      <c r="B25" s="151" t="s">
        <v>23</v>
      </c>
      <c r="C25" s="405" t="s">
        <v>24</v>
      </c>
      <c r="D25" s="405"/>
      <c r="E25" s="1"/>
      <c r="F25" s="1"/>
      <c r="G25" s="1"/>
    </row>
    <row r="26" spans="1:7" ht="15" customHeight="1" x14ac:dyDescent="0.25">
      <c r="A26" s="1"/>
      <c r="B26" s="153"/>
      <c r="C26" s="142"/>
      <c r="D26" s="142"/>
      <c r="E26" s="1"/>
      <c r="F26" s="1"/>
      <c r="G26" s="1"/>
    </row>
    <row r="27" spans="1:7" ht="39" customHeight="1" x14ac:dyDescent="0.25">
      <c r="A27" s="1"/>
      <c r="B27" s="151" t="s">
        <v>25</v>
      </c>
      <c r="C27" s="405" t="s">
        <v>26</v>
      </c>
      <c r="D27" s="405"/>
      <c r="E27" s="1"/>
      <c r="F27" s="1"/>
      <c r="G27" s="1"/>
    </row>
    <row r="28" spans="1:7" ht="15" customHeight="1" x14ac:dyDescent="0.25">
      <c r="A28" s="1"/>
      <c r="B28" s="153"/>
      <c r="C28" s="142"/>
      <c r="D28" s="142"/>
      <c r="E28" s="1"/>
      <c r="F28" s="1"/>
      <c r="G28" s="1"/>
    </row>
    <row r="29" spans="1:7" ht="15" customHeight="1" x14ac:dyDescent="0.25">
      <c r="A29" s="1"/>
      <c r="B29" s="151" t="s">
        <v>27</v>
      </c>
      <c r="C29" s="406" t="s">
        <v>28</v>
      </c>
      <c r="D29" s="406"/>
      <c r="E29" s="1"/>
      <c r="F29" s="1"/>
      <c r="G29" s="1"/>
    </row>
    <row r="30" spans="1:7" ht="15" customHeight="1" x14ac:dyDescent="0.25">
      <c r="A30" s="1"/>
      <c r="B30" s="142"/>
      <c r="C30" s="142"/>
      <c r="D30" s="142"/>
      <c r="E30" s="1"/>
      <c r="F30" s="1"/>
      <c r="G30" s="1"/>
    </row>
    <row r="31" spans="1:7" ht="15" customHeight="1" x14ac:dyDescent="0.25">
      <c r="A31" s="1"/>
      <c r="B31" s="142"/>
      <c r="C31" s="154"/>
      <c r="D31" s="142"/>
      <c r="E31" s="1"/>
      <c r="F31" s="1"/>
      <c r="G31" s="1"/>
    </row>
    <row r="32" spans="1:7" ht="30" customHeight="1" x14ac:dyDescent="0.25">
      <c r="A32" s="1"/>
      <c r="B32" s="415" t="s">
        <v>29</v>
      </c>
      <c r="E32" s="1"/>
      <c r="F32" s="1"/>
      <c r="G32" s="1"/>
    </row>
    <row r="33" spans="1:7" ht="15" customHeight="1" x14ac:dyDescent="0.25">
      <c r="A33" s="1"/>
      <c r="B33" s="171" t="s">
        <v>148</v>
      </c>
      <c r="C33" s="33"/>
      <c r="D33" s="416" t="s">
        <v>691</v>
      </c>
      <c r="E33" s="1"/>
      <c r="F33" s="1"/>
      <c r="G33" s="1"/>
    </row>
    <row r="34" spans="1:7" ht="30" customHeight="1" x14ac:dyDescent="0.25">
      <c r="A34" s="1"/>
      <c r="B34" s="417" t="s">
        <v>30</v>
      </c>
      <c r="C34" s="418" t="s">
        <v>31</v>
      </c>
      <c r="D34" s="419" t="s">
        <v>32</v>
      </c>
      <c r="E34" s="1"/>
      <c r="F34" s="1"/>
      <c r="G34" s="1"/>
    </row>
    <row r="35" spans="1:7" ht="30" customHeight="1" x14ac:dyDescent="0.25">
      <c r="A35" s="1"/>
      <c r="B35" s="417" t="s">
        <v>33</v>
      </c>
      <c r="C35" s="418" t="s">
        <v>34</v>
      </c>
      <c r="D35" s="419" t="s">
        <v>35</v>
      </c>
      <c r="E35" s="1"/>
      <c r="F35" s="1"/>
      <c r="G35" s="1"/>
    </row>
    <row r="36" spans="1:7" ht="15" customHeight="1" x14ac:dyDescent="0.25">
      <c r="A36" s="1"/>
      <c r="B36" s="417" t="s">
        <v>36</v>
      </c>
      <c r="C36" s="418" t="s">
        <v>37</v>
      </c>
      <c r="D36" s="419" t="s">
        <v>38</v>
      </c>
      <c r="E36" s="1"/>
      <c r="F36" s="1"/>
      <c r="G36" s="1"/>
    </row>
    <row r="37" spans="1:7" ht="30" customHeight="1" x14ac:dyDescent="0.25">
      <c r="A37" s="1"/>
      <c r="B37" s="417" t="s">
        <v>39</v>
      </c>
      <c r="C37" s="418" t="s">
        <v>40</v>
      </c>
      <c r="D37" s="419" t="s">
        <v>41</v>
      </c>
      <c r="E37" s="1"/>
      <c r="F37" s="1"/>
      <c r="G37" s="1"/>
    </row>
    <row r="38" spans="1:7" ht="30" customHeight="1" x14ac:dyDescent="0.25">
      <c r="A38" s="1"/>
      <c r="B38" s="417" t="s">
        <v>73</v>
      </c>
      <c r="C38" s="418" t="s">
        <v>692</v>
      </c>
      <c r="D38" s="419" t="s">
        <v>74</v>
      </c>
      <c r="E38" s="1"/>
      <c r="F38" s="1"/>
      <c r="G38" s="1"/>
    </row>
    <row r="39" spans="1:7" ht="15" customHeight="1" x14ac:dyDescent="0.25">
      <c r="A39" s="1"/>
      <c r="B39" s="171" t="s">
        <v>154</v>
      </c>
      <c r="C39" s="33"/>
      <c r="D39" s="416" t="s">
        <v>691</v>
      </c>
      <c r="E39" s="1"/>
      <c r="F39" s="1"/>
      <c r="G39" s="1"/>
    </row>
    <row r="40" spans="1:7" ht="15" customHeight="1" x14ac:dyDescent="0.25">
      <c r="A40" s="1"/>
      <c r="B40" s="417" t="s">
        <v>42</v>
      </c>
      <c r="C40" s="418" t="s">
        <v>693</v>
      </c>
      <c r="D40" s="419" t="s">
        <v>43</v>
      </c>
      <c r="E40" s="1"/>
      <c r="F40" s="1"/>
      <c r="G40" s="1"/>
    </row>
    <row r="41" spans="1:7" ht="15" customHeight="1" x14ac:dyDescent="0.25">
      <c r="A41" s="1"/>
      <c r="B41" s="417" t="s">
        <v>44</v>
      </c>
      <c r="C41" s="418" t="s">
        <v>45</v>
      </c>
      <c r="D41" s="419" t="s">
        <v>46</v>
      </c>
      <c r="E41" s="1"/>
      <c r="F41" s="1"/>
      <c r="G41" s="1"/>
    </row>
    <row r="42" spans="1:7" ht="30" customHeight="1" x14ac:dyDescent="0.25">
      <c r="A42" s="1"/>
      <c r="B42" s="417" t="s">
        <v>70</v>
      </c>
      <c r="C42" s="418" t="s">
        <v>71</v>
      </c>
      <c r="D42" s="419" t="s">
        <v>72</v>
      </c>
      <c r="E42" s="1"/>
      <c r="F42" s="1"/>
      <c r="G42" s="1"/>
    </row>
    <row r="43" spans="1:7" ht="30" customHeight="1" x14ac:dyDescent="0.25">
      <c r="A43" s="1"/>
      <c r="B43" s="171" t="s">
        <v>156</v>
      </c>
      <c r="C43" s="33"/>
      <c r="D43" s="416" t="s">
        <v>691</v>
      </c>
      <c r="E43" s="1"/>
      <c r="F43" s="1"/>
      <c r="G43" s="1"/>
    </row>
    <row r="44" spans="1:7" ht="15" customHeight="1" x14ac:dyDescent="0.25">
      <c r="A44" s="1"/>
      <c r="B44" s="417" t="s">
        <v>47</v>
      </c>
      <c r="C44" s="418" t="s">
        <v>48</v>
      </c>
      <c r="D44" s="419" t="s">
        <v>49</v>
      </c>
      <c r="E44" s="1"/>
      <c r="F44" s="1"/>
      <c r="G44" s="1"/>
    </row>
    <row r="45" spans="1:7" ht="15" customHeight="1" x14ac:dyDescent="0.25">
      <c r="A45" s="1"/>
      <c r="B45" s="417" t="s">
        <v>50</v>
      </c>
      <c r="C45" s="418" t="s">
        <v>51</v>
      </c>
      <c r="D45" s="419" t="s">
        <v>52</v>
      </c>
      <c r="E45" s="1"/>
      <c r="F45" s="1"/>
      <c r="G45" s="1"/>
    </row>
    <row r="46" spans="1:7" ht="15" customHeight="1" x14ac:dyDescent="0.25">
      <c r="A46" s="1"/>
      <c r="B46" s="171" t="s">
        <v>157</v>
      </c>
      <c r="C46" s="33"/>
      <c r="D46" s="416" t="s">
        <v>691</v>
      </c>
      <c r="E46" s="1"/>
      <c r="F46" s="1"/>
      <c r="G46" s="1"/>
    </row>
    <row r="47" spans="1:7" ht="15" customHeight="1" x14ac:dyDescent="0.25">
      <c r="A47" s="1"/>
      <c r="B47" s="333" t="s">
        <v>53</v>
      </c>
      <c r="C47" s="420" t="s">
        <v>54</v>
      </c>
      <c r="D47" s="421" t="s">
        <v>55</v>
      </c>
      <c r="E47" s="1"/>
      <c r="F47" s="1"/>
      <c r="G47" s="1"/>
    </row>
    <row r="48" spans="1:7" ht="30" customHeight="1" x14ac:dyDescent="0.25">
      <c r="A48" s="1"/>
      <c r="B48" s="333" t="s">
        <v>56</v>
      </c>
      <c r="C48" s="420" t="s">
        <v>57</v>
      </c>
      <c r="D48" s="421" t="s">
        <v>58</v>
      </c>
      <c r="E48" s="1"/>
      <c r="F48" s="1"/>
      <c r="G48" s="1"/>
    </row>
    <row r="49" spans="1:7" ht="15" customHeight="1" x14ac:dyDescent="0.25">
      <c r="A49" s="1"/>
      <c r="B49" s="333" t="s">
        <v>59</v>
      </c>
      <c r="C49" s="420" t="s">
        <v>60</v>
      </c>
      <c r="D49" s="421" t="s">
        <v>61</v>
      </c>
      <c r="E49" s="1"/>
      <c r="F49" s="1"/>
      <c r="G49" s="1"/>
    </row>
    <row r="50" spans="1:7" ht="15" customHeight="1" x14ac:dyDescent="0.25">
      <c r="A50" s="1"/>
      <c r="B50" s="171" t="s">
        <v>694</v>
      </c>
      <c r="C50" s="33"/>
      <c r="D50" s="416" t="s">
        <v>691</v>
      </c>
      <c r="E50" s="1"/>
      <c r="F50" s="1"/>
      <c r="G50" s="1"/>
    </row>
    <row r="51" spans="1:7" ht="15" customHeight="1" x14ac:dyDescent="0.25">
      <c r="A51" s="1"/>
      <c r="B51" s="333" t="s">
        <v>62</v>
      </c>
      <c r="C51" s="420" t="s">
        <v>695</v>
      </c>
      <c r="D51" s="421" t="s">
        <v>63</v>
      </c>
      <c r="E51" s="1"/>
      <c r="F51" s="1"/>
      <c r="G51" s="1"/>
    </row>
    <row r="52" spans="1:7" ht="15" customHeight="1" x14ac:dyDescent="0.25">
      <c r="A52" s="1"/>
      <c r="B52" s="333" t="s">
        <v>67</v>
      </c>
      <c r="C52" s="420" t="s">
        <v>68</v>
      </c>
      <c r="D52" s="421" t="s">
        <v>69</v>
      </c>
      <c r="E52" s="1"/>
      <c r="F52" s="1"/>
      <c r="G52" s="1"/>
    </row>
    <row r="53" spans="1:7" ht="15" customHeight="1" x14ac:dyDescent="0.25">
      <c r="A53" s="1"/>
      <c r="B53" s="333" t="s">
        <v>75</v>
      </c>
      <c r="C53" s="420" t="s">
        <v>696</v>
      </c>
      <c r="D53" s="421" t="s">
        <v>76</v>
      </c>
      <c r="E53" s="1"/>
      <c r="F53" s="1"/>
      <c r="G53" s="1"/>
    </row>
    <row r="54" spans="1:7" ht="15" customHeight="1" x14ac:dyDescent="0.25">
      <c r="A54" s="1"/>
      <c r="B54" s="333" t="s">
        <v>77</v>
      </c>
      <c r="C54" s="420" t="s">
        <v>697</v>
      </c>
      <c r="D54" s="421" t="s">
        <v>78</v>
      </c>
      <c r="E54" s="1"/>
      <c r="F54" s="1"/>
      <c r="G54" s="1"/>
    </row>
    <row r="55" spans="1:7" ht="15" customHeight="1" x14ac:dyDescent="0.25">
      <c r="A55" s="1"/>
      <c r="B55" s="333" t="s">
        <v>64</v>
      </c>
      <c r="C55" s="420" t="s">
        <v>65</v>
      </c>
      <c r="D55" s="421" t="s">
        <v>66</v>
      </c>
      <c r="E55" s="1"/>
      <c r="F55" s="1"/>
      <c r="G55" s="1"/>
    </row>
    <row r="56" spans="1:7" ht="30" customHeight="1" x14ac:dyDescent="0.25">
      <c r="A56" s="1"/>
      <c r="E56" s="1"/>
      <c r="F56" s="1"/>
      <c r="G56" s="1"/>
    </row>
    <row r="57" spans="1:7" ht="15" customHeight="1" x14ac:dyDescent="0.25">
      <c r="A57" s="1"/>
      <c r="B57" s="142"/>
      <c r="C57" s="142"/>
      <c r="D57" s="142"/>
      <c r="E57" s="1"/>
      <c r="F57" s="1"/>
      <c r="G57" s="1"/>
    </row>
    <row r="58" spans="1:7" ht="30" customHeight="1" x14ac:dyDescent="0.25">
      <c r="A58" s="1"/>
      <c r="B58" s="160" t="s">
        <v>79</v>
      </c>
      <c r="C58" s="161"/>
      <c r="D58" s="142"/>
      <c r="E58" s="1"/>
      <c r="F58" s="1"/>
      <c r="G58" s="1"/>
    </row>
    <row r="59" spans="1:7" ht="15" customHeight="1" x14ac:dyDescent="0.25">
      <c r="A59" s="1"/>
      <c r="B59" s="162" t="s">
        <v>80</v>
      </c>
      <c r="C59" s="163" t="s">
        <v>81</v>
      </c>
      <c r="D59" s="142"/>
      <c r="E59" s="1"/>
      <c r="F59" s="1"/>
      <c r="G59" s="1"/>
    </row>
    <row r="60" spans="1:7" ht="15" customHeight="1" x14ac:dyDescent="0.25">
      <c r="A60" s="1"/>
      <c r="B60" s="164"/>
      <c r="C60" s="148"/>
      <c r="D60" s="142"/>
      <c r="E60" s="1"/>
      <c r="F60" s="1"/>
      <c r="G60" s="1"/>
    </row>
    <row r="61" spans="1:7" ht="15" customHeight="1" x14ac:dyDescent="0.25">
      <c r="A61" s="1"/>
      <c r="B61" s="162" t="s">
        <v>82</v>
      </c>
      <c r="C61" s="163" t="s">
        <v>83</v>
      </c>
      <c r="D61" s="142"/>
      <c r="E61" s="1"/>
      <c r="F61" s="1"/>
      <c r="G61" s="1"/>
    </row>
    <row r="62" spans="1:7" ht="15" customHeight="1" x14ac:dyDescent="0.25">
      <c r="A62" s="1"/>
      <c r="B62" s="142"/>
      <c r="C62" s="142"/>
      <c r="D62" s="142"/>
      <c r="E62" s="1"/>
      <c r="F62" s="1"/>
      <c r="G62" s="1"/>
    </row>
    <row r="63" spans="1:7" ht="15" customHeight="1" x14ac:dyDescent="0.25">
      <c r="A63" s="1"/>
      <c r="B63" s="162" t="s">
        <v>84</v>
      </c>
      <c r="C63" s="163" t="s">
        <v>85</v>
      </c>
      <c r="D63" s="142"/>
      <c r="E63" s="1"/>
      <c r="F63" s="1"/>
      <c r="G63" s="1"/>
    </row>
    <row r="64" spans="1:7" ht="15" customHeight="1" x14ac:dyDescent="0.25">
      <c r="A64" s="1"/>
      <c r="B64" s="157"/>
      <c r="C64" s="142"/>
      <c r="D64" s="142"/>
      <c r="E64" s="1"/>
      <c r="F64" s="1"/>
      <c r="G64" s="1"/>
    </row>
    <row r="65" spans="1:7" ht="15" customHeight="1" x14ac:dyDescent="0.25">
      <c r="A65" s="1"/>
      <c r="B65" s="162" t="s">
        <v>86</v>
      </c>
      <c r="C65" s="163" t="s">
        <v>87</v>
      </c>
      <c r="D65" s="142"/>
      <c r="E65" s="1"/>
      <c r="F65" s="1"/>
      <c r="G65" s="1"/>
    </row>
    <row r="66" spans="1:7" ht="15" customHeight="1" x14ac:dyDescent="0.25">
      <c r="A66" s="1"/>
      <c r="B66" s="160"/>
      <c r="C66" s="142"/>
      <c r="D66" s="142"/>
      <c r="E66" s="1"/>
      <c r="F66" s="1"/>
      <c r="G66" s="1"/>
    </row>
    <row r="67" spans="1:7" ht="15" customHeight="1" x14ac:dyDescent="0.25">
      <c r="A67" s="1"/>
      <c r="B67" s="159"/>
      <c r="C67" s="142"/>
      <c r="D67" s="142"/>
      <c r="E67" s="1"/>
      <c r="F67" s="1"/>
      <c r="G67" s="1"/>
    </row>
    <row r="68" spans="1:7" ht="15" customHeight="1" x14ac:dyDescent="0.25">
      <c r="A68" s="1"/>
      <c r="B68" s="160" t="s">
        <v>88</v>
      </c>
      <c r="C68" s="142"/>
      <c r="D68" s="142"/>
      <c r="E68" s="1"/>
      <c r="F68" s="1"/>
      <c r="G68" s="1"/>
    </row>
    <row r="69" spans="1:7" ht="15" customHeight="1" x14ac:dyDescent="0.25">
      <c r="A69" s="1"/>
      <c r="B69" s="159" t="s">
        <v>89</v>
      </c>
      <c r="C69" s="142"/>
      <c r="D69" s="142"/>
      <c r="E69" s="1"/>
      <c r="F69" s="1"/>
      <c r="G69" s="1"/>
    </row>
    <row r="70" spans="1:7" ht="15" customHeight="1" x14ac:dyDescent="0.25">
      <c r="A70" s="1"/>
      <c r="B70" s="159" t="s">
        <v>90</v>
      </c>
      <c r="C70" s="142"/>
      <c r="D70" s="142"/>
      <c r="E70" s="1"/>
      <c r="F70" s="1"/>
      <c r="G70" s="1"/>
    </row>
    <row r="71" spans="1:7" ht="15" customHeight="1" x14ac:dyDescent="0.25">
      <c r="A71" s="1"/>
      <c r="B71" s="159" t="s">
        <v>91</v>
      </c>
      <c r="C71" s="142"/>
      <c r="D71" s="142"/>
      <c r="E71" s="1"/>
      <c r="F71" s="1"/>
      <c r="G71" s="1"/>
    </row>
    <row r="72" spans="1:7" ht="15" customHeight="1" x14ac:dyDescent="0.25">
      <c r="A72" s="1"/>
      <c r="B72" s="159" t="s">
        <v>92</v>
      </c>
      <c r="C72" s="142"/>
      <c r="D72" s="142"/>
      <c r="E72" s="1"/>
      <c r="F72" s="1"/>
      <c r="G72" s="1"/>
    </row>
    <row r="73" spans="1:7" ht="15" customHeight="1" x14ac:dyDescent="0.25">
      <c r="A73" s="1"/>
      <c r="B73" s="159" t="s">
        <v>93</v>
      </c>
      <c r="C73" s="142"/>
      <c r="D73" s="142"/>
      <c r="E73" s="1"/>
      <c r="F73" s="1"/>
      <c r="G73" s="1"/>
    </row>
    <row r="74" spans="1:7" ht="15" customHeight="1" x14ac:dyDescent="0.25">
      <c r="A74" s="1"/>
      <c r="B74" s="159" t="s">
        <v>94</v>
      </c>
      <c r="C74" s="142"/>
      <c r="D74" s="142"/>
      <c r="E74" s="1"/>
      <c r="F74" s="1"/>
      <c r="G74" s="1"/>
    </row>
    <row r="75" spans="1:7" ht="15" customHeight="1" x14ac:dyDescent="0.25">
      <c r="A75" s="1"/>
      <c r="B75" s="159" t="s">
        <v>95</v>
      </c>
      <c r="C75" s="142"/>
      <c r="D75" s="142"/>
      <c r="E75" s="1"/>
      <c r="F75" s="1"/>
      <c r="G75" s="1"/>
    </row>
    <row r="76" spans="1:7" ht="15" customHeight="1" x14ac:dyDescent="0.25">
      <c r="A76" s="1"/>
      <c r="B76" s="163"/>
      <c r="C76" s="142"/>
      <c r="D76" s="142"/>
      <c r="E76" s="1"/>
      <c r="F76" s="1"/>
      <c r="G76" s="1"/>
    </row>
    <row r="77" spans="1:7" ht="15" customHeight="1" x14ac:dyDescent="0.25">
      <c r="A77" s="1"/>
      <c r="B77" s="160" t="s">
        <v>96</v>
      </c>
      <c r="C77" s="142"/>
      <c r="D77" s="142"/>
      <c r="E77" s="1"/>
      <c r="F77" s="1"/>
      <c r="G77" s="1"/>
    </row>
    <row r="78" spans="1:7" ht="15" customHeight="1" x14ac:dyDescent="0.25">
      <c r="A78" s="1"/>
      <c r="B78" s="163" t="s">
        <v>97</v>
      </c>
      <c r="C78" s="142"/>
      <c r="D78" s="142"/>
      <c r="E78" s="1"/>
      <c r="F78" s="1"/>
      <c r="G78" s="1"/>
    </row>
    <row r="79" spans="1:7" ht="15" customHeight="1" x14ac:dyDescent="0.25">
      <c r="A79" s="1"/>
      <c r="B79" s="163" t="s">
        <v>98</v>
      </c>
      <c r="C79" s="142"/>
      <c r="D79" s="142"/>
      <c r="E79" s="1"/>
      <c r="F79" s="1"/>
      <c r="G79" s="1"/>
    </row>
    <row r="80" spans="1:7" ht="15" customHeight="1" x14ac:dyDescent="0.25">
      <c r="A80" s="1"/>
      <c r="B80" s="163" t="s">
        <v>99</v>
      </c>
      <c r="C80" s="142"/>
      <c r="D80" s="142"/>
      <c r="E80" s="1"/>
      <c r="F80" s="1"/>
      <c r="G80" s="1"/>
    </row>
    <row r="81" spans="1:7" ht="15" customHeight="1" x14ac:dyDescent="0.25">
      <c r="A81" s="1"/>
      <c r="B81" s="163" t="s">
        <v>100</v>
      </c>
      <c r="C81" s="142"/>
      <c r="D81" s="142"/>
      <c r="E81" s="1"/>
      <c r="F81" s="1"/>
      <c r="G81" s="1"/>
    </row>
    <row r="82" spans="1:7" ht="15" customHeight="1" x14ac:dyDescent="0.25">
      <c r="A82" s="1"/>
      <c r="B82" s="163" t="s">
        <v>101</v>
      </c>
      <c r="C82" s="142"/>
      <c r="D82" s="142"/>
      <c r="E82" s="1"/>
      <c r="F82" s="1"/>
      <c r="G82" s="1"/>
    </row>
    <row r="83" spans="1:7" ht="15" customHeight="1" x14ac:dyDescent="0.25">
      <c r="A83" s="1"/>
      <c r="B83" s="163"/>
      <c r="C83" s="142"/>
      <c r="D83" s="142"/>
      <c r="E83" s="1"/>
      <c r="F83" s="1"/>
      <c r="G83" s="1"/>
    </row>
    <row r="84" spans="1:7" ht="15" customHeight="1" x14ac:dyDescent="0.25">
      <c r="A84" s="1"/>
      <c r="B84" s="160" t="s">
        <v>102</v>
      </c>
      <c r="C84" s="142"/>
      <c r="D84" s="142"/>
      <c r="E84" s="1"/>
      <c r="F84" s="1"/>
      <c r="G84" s="1"/>
    </row>
    <row r="85" spans="1:7" ht="15" customHeight="1" x14ac:dyDescent="0.25">
      <c r="A85" s="1"/>
      <c r="B85" s="163" t="s">
        <v>103</v>
      </c>
      <c r="C85" s="142"/>
      <c r="D85" s="142"/>
      <c r="E85" s="1"/>
      <c r="F85" s="1"/>
      <c r="G85" s="1"/>
    </row>
    <row r="86" spans="1:7" ht="15" customHeight="1" x14ac:dyDescent="0.25">
      <c r="A86" s="2"/>
      <c r="B86" s="160" t="s">
        <v>104</v>
      </c>
      <c r="E86" s="2"/>
      <c r="F86" s="2"/>
      <c r="G86" s="2"/>
    </row>
    <row r="87" spans="1:7" ht="15" customHeight="1" x14ac:dyDescent="0.25">
      <c r="A87" s="2"/>
      <c r="B87" s="163" t="s">
        <v>105</v>
      </c>
      <c r="E87" s="2"/>
      <c r="F87" s="2"/>
      <c r="G87" s="2"/>
    </row>
    <row r="88" spans="1:7" ht="15" customHeight="1" x14ac:dyDescent="0.25">
      <c r="A88" s="2"/>
      <c r="B88" s="159"/>
      <c r="E88" s="2"/>
      <c r="F88" s="2"/>
      <c r="G88" s="2"/>
    </row>
    <row r="89" spans="1:7" ht="15" customHeight="1" x14ac:dyDescent="0.25">
      <c r="A89" s="2"/>
      <c r="B89" s="160" t="s">
        <v>106</v>
      </c>
      <c r="E89" s="2"/>
      <c r="F89" s="2"/>
      <c r="G89" s="2"/>
    </row>
    <row r="90" spans="1:7" ht="15" customHeight="1" x14ac:dyDescent="0.25">
      <c r="A90" s="2"/>
      <c r="B90" s="159" t="s">
        <v>107</v>
      </c>
      <c r="E90" s="2"/>
      <c r="F90" s="2"/>
      <c r="G90" s="2"/>
    </row>
    <row r="91" spans="1:7" ht="15" customHeight="1" x14ac:dyDescent="0.25">
      <c r="A91" s="2"/>
      <c r="B91" s="159" t="s">
        <v>108</v>
      </c>
      <c r="E91" s="2"/>
      <c r="F91" s="2"/>
      <c r="G91" s="2"/>
    </row>
    <row r="92" spans="1:7" ht="15" customHeight="1" x14ac:dyDescent="0.25">
      <c r="A92" s="2"/>
      <c r="B92" s="160" t="s">
        <v>109</v>
      </c>
      <c r="E92" s="2"/>
      <c r="F92" s="2"/>
      <c r="G92" s="2"/>
    </row>
    <row r="93" spans="1:7" ht="15" customHeight="1" x14ac:dyDescent="0.25">
      <c r="A93" s="2"/>
      <c r="B93" s="159" t="s">
        <v>110</v>
      </c>
      <c r="E93" s="2"/>
      <c r="F93" s="2"/>
      <c r="G93" s="2"/>
    </row>
    <row r="94" spans="1:7" ht="15.75" customHeight="1" x14ac:dyDescent="0.25">
      <c r="A94" s="2"/>
      <c r="B94" s="160" t="s">
        <v>111</v>
      </c>
      <c r="E94" s="2"/>
      <c r="F94" s="2"/>
      <c r="G94" s="2"/>
    </row>
    <row r="95" spans="1:7" ht="15" customHeight="1" x14ac:dyDescent="0.25">
      <c r="A95" s="2"/>
      <c r="B95" s="159" t="s">
        <v>112</v>
      </c>
      <c r="E95" s="2"/>
      <c r="F95" s="2"/>
      <c r="G95" s="2"/>
    </row>
    <row r="96" spans="1:7" ht="15" customHeight="1" x14ac:dyDescent="0.25">
      <c r="A96" s="2"/>
      <c r="B96" s="159" t="s">
        <v>113</v>
      </c>
      <c r="E96" s="2"/>
      <c r="F96" s="2"/>
      <c r="G96" s="2"/>
    </row>
    <row r="97" spans="1:7" ht="15" customHeight="1" x14ac:dyDescent="0.25">
      <c r="A97" s="2"/>
      <c r="B97" s="159" t="s">
        <v>114</v>
      </c>
      <c r="E97" s="2"/>
      <c r="F97" s="2"/>
      <c r="G97" s="2"/>
    </row>
    <row r="98" spans="1:7" ht="15" customHeight="1" x14ac:dyDescent="0.25">
      <c r="A98" s="2"/>
      <c r="B98" s="2"/>
      <c r="C98" s="2"/>
      <c r="D98" s="2"/>
      <c r="E98" s="2"/>
      <c r="F98" s="2"/>
      <c r="G98" s="2"/>
    </row>
    <row r="99" spans="1:7" ht="15" customHeight="1" x14ac:dyDescent="0.25">
      <c r="A99" s="2"/>
      <c r="B99" s="2"/>
      <c r="C99" s="2"/>
      <c r="D99" s="2"/>
      <c r="E99" s="2"/>
      <c r="F99" s="2"/>
      <c r="G99" s="2"/>
    </row>
    <row r="100" spans="1:7" ht="15" customHeight="1" x14ac:dyDescent="0.25">
      <c r="A100" s="2"/>
      <c r="B100" s="2"/>
      <c r="C100" s="2"/>
      <c r="D100" s="2"/>
      <c r="E100" s="2"/>
      <c r="F100" s="2"/>
      <c r="G100" s="2"/>
    </row>
  </sheetData>
  <sheetProtection sheet="1" objects="1" scenarios="1"/>
  <mergeCells count="8">
    <mergeCell ref="C27:D27"/>
    <mergeCell ref="C29:D29"/>
    <mergeCell ref="C17:D17"/>
    <mergeCell ref="C18:D18"/>
    <mergeCell ref="C19:D19"/>
    <mergeCell ref="C21:D21"/>
    <mergeCell ref="C23:D23"/>
    <mergeCell ref="C25:D25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6573B"/>
  </sheetPr>
  <dimension ref="A1:Z97"/>
  <sheetViews>
    <sheetView tabSelected="1" zoomScaleNormal="100" workbookViewId="0">
      <selection activeCell="B19" sqref="B19"/>
    </sheetView>
  </sheetViews>
  <sheetFormatPr defaultColWidth="8.7109375" defaultRowHeight="15" x14ac:dyDescent="0.25"/>
  <cols>
    <col min="1" max="1" width="30" customWidth="1"/>
    <col min="2" max="2" width="15.85546875" bestFit="1" customWidth="1"/>
    <col min="3" max="3" width="14.5703125" customWidth="1"/>
    <col min="4" max="22" width="12" customWidth="1"/>
  </cols>
  <sheetData>
    <row r="1" spans="1:26" ht="15" customHeight="1" x14ac:dyDescent="0.25">
      <c r="U1" s="2"/>
      <c r="V1" s="2"/>
      <c r="W1" s="2"/>
      <c r="X1" s="2"/>
      <c r="Y1" s="2"/>
      <c r="Z1" s="2"/>
    </row>
    <row r="2" spans="1:26" ht="54.75" customHeight="1" x14ac:dyDescent="0.3">
      <c r="A2" s="165" t="s">
        <v>145</v>
      </c>
    </row>
    <row r="3" spans="1:26" ht="15" customHeight="1" x14ac:dyDescent="0.25">
      <c r="A3" s="166" t="s">
        <v>146</v>
      </c>
    </row>
    <row r="4" spans="1:26" ht="15" customHeight="1" x14ac:dyDescent="0.25">
      <c r="A4" s="167" t="s">
        <v>147</v>
      </c>
    </row>
    <row r="5" spans="1:26" ht="36" customHeight="1" x14ac:dyDescent="0.25">
      <c r="A5" s="409" t="s">
        <v>649</v>
      </c>
      <c r="B5" s="410"/>
      <c r="C5" s="410"/>
      <c r="D5" s="168"/>
      <c r="E5" s="169" t="s">
        <v>690</v>
      </c>
      <c r="F5" s="168"/>
      <c r="G5" s="168"/>
      <c r="H5" s="168"/>
      <c r="I5" s="168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</row>
    <row r="6" spans="1:26" ht="15" customHeight="1" x14ac:dyDescent="0.25">
      <c r="A6" s="171" t="s">
        <v>148</v>
      </c>
    </row>
    <row r="7" spans="1:26" ht="15" customHeight="1" x14ac:dyDescent="0.25">
      <c r="A7" t="s">
        <v>149</v>
      </c>
      <c r="B7" s="349">
        <v>200</v>
      </c>
    </row>
    <row r="8" spans="1:26" ht="15" customHeight="1" x14ac:dyDescent="0.25">
      <c r="A8" t="s">
        <v>150</v>
      </c>
      <c r="B8" s="339">
        <v>35</v>
      </c>
    </row>
    <row r="9" spans="1:26" ht="15" customHeight="1" x14ac:dyDescent="0.25">
      <c r="A9" t="s">
        <v>151</v>
      </c>
      <c r="B9" s="172">
        <f>B7*(B8/60)</f>
        <v>116.66666666666667</v>
      </c>
    </row>
    <row r="10" spans="1:26" ht="15" customHeight="1" x14ac:dyDescent="0.25">
      <c r="A10" t="s">
        <v>36</v>
      </c>
      <c r="B10" s="339">
        <v>500</v>
      </c>
    </row>
    <row r="11" spans="1:26" ht="15" customHeight="1" x14ac:dyDescent="0.25">
      <c r="A11" t="s">
        <v>152</v>
      </c>
      <c r="B11" s="340">
        <v>0.89</v>
      </c>
    </row>
    <row r="12" spans="1:26" ht="15" customHeight="1" x14ac:dyDescent="0.25">
      <c r="A12" s="163" t="s">
        <v>73</v>
      </c>
      <c r="B12" s="350" t="s">
        <v>153</v>
      </c>
      <c r="C12" s="173"/>
    </row>
    <row r="13" spans="1:26" ht="15" customHeight="1" x14ac:dyDescent="0.25">
      <c r="A13" s="171" t="s">
        <v>154</v>
      </c>
    </row>
    <row r="14" spans="1:26" ht="15" customHeight="1" x14ac:dyDescent="0.25">
      <c r="A14" t="s">
        <v>42</v>
      </c>
      <c r="B14" s="341">
        <v>1E-3</v>
      </c>
    </row>
    <row r="15" spans="1:26" ht="15" customHeight="1" x14ac:dyDescent="0.25">
      <c r="A15" t="s">
        <v>44</v>
      </c>
      <c r="B15" s="342">
        <v>2000</v>
      </c>
    </row>
    <row r="16" spans="1:26" ht="15" customHeight="1" x14ac:dyDescent="0.25">
      <c r="A16" t="s">
        <v>155</v>
      </c>
      <c r="B16" s="174">
        <f>B14*B15</f>
        <v>2</v>
      </c>
    </row>
    <row r="17" spans="1:26" ht="15" customHeight="1" x14ac:dyDescent="0.25">
      <c r="A17" s="171" t="s">
        <v>156</v>
      </c>
      <c r="B17" s="132"/>
    </row>
    <row r="18" spans="1:26" ht="15" customHeight="1" x14ac:dyDescent="0.25">
      <c r="A18" s="175" t="s">
        <v>47</v>
      </c>
      <c r="B18" s="339" t="s">
        <v>688</v>
      </c>
    </row>
    <row r="19" spans="1:26" ht="15" customHeight="1" x14ac:dyDescent="0.25">
      <c r="A19" s="148" t="s">
        <v>50</v>
      </c>
      <c r="B19" s="339">
        <v>30</v>
      </c>
    </row>
    <row r="20" spans="1:26" ht="15" customHeight="1" x14ac:dyDescent="0.25">
      <c r="A20" s="171" t="s">
        <v>157</v>
      </c>
    </row>
    <row r="21" spans="1:26" ht="15" customHeight="1" x14ac:dyDescent="0.25">
      <c r="A21" t="s">
        <v>53</v>
      </c>
      <c r="B21" s="342">
        <v>2000</v>
      </c>
    </row>
    <row r="22" spans="1:26" ht="15" customHeight="1" x14ac:dyDescent="0.25">
      <c r="A22" t="s">
        <v>56</v>
      </c>
      <c r="B22" s="342">
        <v>300</v>
      </c>
    </row>
    <row r="23" spans="1:26" ht="15" customHeight="1" x14ac:dyDescent="0.25">
      <c r="A23" t="s">
        <v>59</v>
      </c>
      <c r="B23" s="342">
        <v>3</v>
      </c>
    </row>
    <row r="24" spans="1:26" ht="42" customHeight="1" x14ac:dyDescent="0.25">
      <c r="A24" s="176" t="s">
        <v>130</v>
      </c>
      <c r="B24" s="176" t="s">
        <v>131</v>
      </c>
      <c r="C24" s="176" t="s">
        <v>158</v>
      </c>
      <c r="D24" s="176" t="s">
        <v>132</v>
      </c>
      <c r="E24" s="177" t="s">
        <v>247</v>
      </c>
      <c r="F24" s="177" t="s">
        <v>678</v>
      </c>
      <c r="G24" s="177" t="s">
        <v>142</v>
      </c>
      <c r="H24" s="176" t="s">
        <v>159</v>
      </c>
      <c r="I24" s="176" t="s">
        <v>160</v>
      </c>
      <c r="J24" s="176" t="s">
        <v>161</v>
      </c>
      <c r="K24" s="176" t="s">
        <v>162</v>
      </c>
      <c r="L24" s="176" t="s">
        <v>163</v>
      </c>
      <c r="M24" s="176" t="s">
        <v>164</v>
      </c>
      <c r="N24" s="176" t="s">
        <v>165</v>
      </c>
      <c r="O24" s="176" t="s">
        <v>166</v>
      </c>
      <c r="P24" s="176" t="s">
        <v>167</v>
      </c>
      <c r="Q24" s="176" t="s">
        <v>168</v>
      </c>
      <c r="R24" s="176" t="s">
        <v>169</v>
      </c>
      <c r="S24" s="176" t="s">
        <v>170</v>
      </c>
      <c r="T24" s="176" t="s">
        <v>171</v>
      </c>
      <c r="U24" s="176" t="s">
        <v>172</v>
      </c>
      <c r="V24" s="176" t="s">
        <v>173</v>
      </c>
      <c r="W24" s="178" t="s">
        <v>174</v>
      </c>
      <c r="X24" s="179" t="s">
        <v>175</v>
      </c>
      <c r="Y24" s="180" t="s">
        <v>176</v>
      </c>
      <c r="Z24" s="180" t="s">
        <v>177</v>
      </c>
    </row>
    <row r="25" spans="1:26" ht="15" customHeight="1" x14ac:dyDescent="0.25">
      <c r="A25" s="181" t="s">
        <v>178</v>
      </c>
      <c r="B25" s="343">
        <v>5.0000000000000001E-4</v>
      </c>
      <c r="C25" s="182">
        <f>'Risk Calc'!C17</f>
        <v>1</v>
      </c>
      <c r="D25" s="183">
        <f>'Risk Calc'!C19</f>
        <v>2</v>
      </c>
      <c r="E25" s="12">
        <v>25000</v>
      </c>
      <c r="F25" s="13">
        <v>5.9999999999999995E-4</v>
      </c>
      <c r="G25" s="16">
        <v>0.9</v>
      </c>
      <c r="H25" s="184">
        <f>'Risk Calc'!C215</f>
        <v>7.5605468750000002E-2</v>
      </c>
      <c r="I25" s="185">
        <f>'Risk Calc'!C217</f>
        <v>1.9972580780544529E-2</v>
      </c>
      <c r="J25" s="185">
        <f>'Risk Calc'!C220</f>
        <v>6.3749879157835254E-2</v>
      </c>
      <c r="K25" s="186">
        <f>'Risk Calc'!C222</f>
        <v>3718.7429508737232</v>
      </c>
      <c r="L25" s="184">
        <f>'Risk Calc'!C60</f>
        <v>0.28164530800008813</v>
      </c>
      <c r="M25" s="185">
        <f>'Risk Calc'!C166</f>
        <v>1.1351471938479659E-2</v>
      </c>
      <c r="N25" s="185">
        <f>'Risk Calc'!C90</f>
        <v>0.10399707531253877</v>
      </c>
      <c r="O25" s="186">
        <f>'Risk Calc'!C95</f>
        <v>6066.4960598980952</v>
      </c>
      <c r="P25" s="182">
        <f>'Risk Calc'!C25</f>
        <v>0.98</v>
      </c>
      <c r="Q25" s="185">
        <f>'Risk Calc'!C165</f>
        <v>6.4839026410326746E-4</v>
      </c>
      <c r="R25" s="185">
        <f>'Risk Calc'!C57</f>
        <v>0.33981184265390796</v>
      </c>
      <c r="S25" s="186">
        <f>'Risk Calc'!C94</f>
        <v>19822.357488144629</v>
      </c>
      <c r="T25" s="187">
        <f>'Risk Calc'!C221</f>
        <v>31.874939578917626</v>
      </c>
      <c r="U25" s="187">
        <f>'Risk Calc'!C93</f>
        <v>51.998537656269384</v>
      </c>
      <c r="V25" s="187">
        <f>'Risk Calc'!C92</f>
        <v>169.90592132695397</v>
      </c>
      <c r="W25" s="188">
        <v>10000</v>
      </c>
      <c r="X25" s="189" t="str">
        <f t="shared" ref="X25:X31" si="0">IF($B$15&gt;W25,"N/A — "&amp;TEXT(W25,"#,##0")&amp;" lbf max","✓")</f>
        <v>✓</v>
      </c>
      <c r="Y25" s="190">
        <f>IF($B$12="Yes",'Risk Calc'!C97,"")</f>
        <v>5.2184558833927697E-2</v>
      </c>
      <c r="Z25" s="131">
        <f>IF($B$12="Yes",'Risk Calc'!C99,0)</f>
        <v>3044.099265312449</v>
      </c>
    </row>
    <row r="26" spans="1:26" ht="15" customHeight="1" x14ac:dyDescent="0.25">
      <c r="A26" s="3" t="s">
        <v>179</v>
      </c>
      <c r="B26" s="343">
        <v>3.3E-4</v>
      </c>
      <c r="C26" s="191">
        <f>'Risk Calc'!D17</f>
        <v>0.66</v>
      </c>
      <c r="D26" s="192">
        <f>'Risk Calc'!D19</f>
        <v>3.0303030303030303</v>
      </c>
      <c r="E26" s="12">
        <v>35000</v>
      </c>
      <c r="F26" s="13">
        <v>2.9999999999999997E-4</v>
      </c>
      <c r="G26" s="16">
        <v>0.9</v>
      </c>
      <c r="H26" s="193">
        <f>'Risk Calc'!D215</f>
        <v>0</v>
      </c>
      <c r="I26" s="194">
        <f>'Risk Calc'!D217</f>
        <v>1.7695161568450888E-2</v>
      </c>
      <c r="J26" s="194">
        <f>'Risk Calc'!D220</f>
        <v>3.0623675979897791E-2</v>
      </c>
      <c r="K26" s="125">
        <f>'Risk Calc'!D222</f>
        <v>1786.3810988273713</v>
      </c>
      <c r="L26" s="193">
        <f>'Risk Calc'!D60</f>
        <v>0.10027584699166711</v>
      </c>
      <c r="M26" s="194">
        <f>'Risk Calc'!D166</f>
        <v>1.1987180821103881E-2</v>
      </c>
      <c r="N26" s="194">
        <f>'Risk Calc'!D90</f>
        <v>4.4717492451906704E-2</v>
      </c>
      <c r="O26" s="125">
        <f>'Risk Calc'!D95</f>
        <v>2608.5203930278913</v>
      </c>
      <c r="P26" s="191">
        <f>'Risk Calc'!D25</f>
        <v>0.64680000000000004</v>
      </c>
      <c r="Q26" s="194">
        <f>'Risk Calc'!D165</f>
        <v>4.3901616539105521E-4</v>
      </c>
      <c r="R26" s="194">
        <f>'Risk Calc'!D57</f>
        <v>0.18626151800786361</v>
      </c>
      <c r="S26" s="125">
        <f>'Risk Calc'!D94</f>
        <v>10865.255217125377</v>
      </c>
      <c r="T26" s="195">
        <f>'Risk Calc'!D221</f>
        <v>15.311837989948895</v>
      </c>
      <c r="U26" s="195">
        <f>'Risk Calc'!D93</f>
        <v>22.358746225953354</v>
      </c>
      <c r="V26" s="195">
        <f>'Risk Calc'!D92</f>
        <v>93.1307590039318</v>
      </c>
      <c r="W26" s="188">
        <v>2000</v>
      </c>
      <c r="X26" s="189" t="str">
        <f t="shared" si="0"/>
        <v>✓</v>
      </c>
      <c r="Y26" s="190">
        <f>IF($B$12="Yes",'Risk Calc'!D97,"")</f>
        <v>3.0623675979897791E-2</v>
      </c>
      <c r="Z26" s="131">
        <f>IF($B$12="Yes",'Risk Calc'!D99,0)</f>
        <v>1786.3810988273713</v>
      </c>
    </row>
    <row r="27" spans="1:26" ht="15" customHeight="1" x14ac:dyDescent="0.25">
      <c r="A27" s="181" t="s">
        <v>180</v>
      </c>
      <c r="B27" s="343">
        <v>2.9999999999999997E-4</v>
      </c>
      <c r="C27" s="182">
        <f>'Risk Calc'!E17</f>
        <v>0.6</v>
      </c>
      <c r="D27" s="183">
        <f>'Risk Calc'!E19</f>
        <v>3.3333333333333335</v>
      </c>
      <c r="E27" s="12">
        <v>50000</v>
      </c>
      <c r="F27" s="13">
        <v>2.9999999999999997E-4</v>
      </c>
      <c r="G27" s="16">
        <v>1</v>
      </c>
      <c r="H27" s="184">
        <f>'Risk Calc'!E215</f>
        <v>0</v>
      </c>
      <c r="I27" s="185">
        <f>'Risk Calc'!E217</f>
        <v>1.6403777357717256E-2</v>
      </c>
      <c r="J27" s="185">
        <f>'Risk Calc'!E220</f>
        <v>2.7265353960724825E-2</v>
      </c>
      <c r="K27" s="186">
        <f>'Risk Calc'!E222</f>
        <v>1590.4789810422815</v>
      </c>
      <c r="L27" s="184">
        <f>'Risk Calc'!E60</f>
        <v>7.1507797118859281E-2</v>
      </c>
      <c r="M27" s="185">
        <f>'Risk Calc'!E166</f>
        <v>1.2115497263080073E-2</v>
      </c>
      <c r="N27" s="185">
        <f>'Risk Calc'!E90</f>
        <v>3.675208641849248E-2</v>
      </c>
      <c r="O27" s="186">
        <f>'Risk Calc'!E95</f>
        <v>2143.8717077453948</v>
      </c>
      <c r="P27" s="182">
        <f>'Risk Calc'!E25</f>
        <v>0.58799999999999997</v>
      </c>
      <c r="Q27" s="185">
        <f>'Risk Calc'!E165</f>
        <v>3.9766065973418074E-4</v>
      </c>
      <c r="R27" s="185">
        <f>'Risk Calc'!E57</f>
        <v>0.16301585835820398</v>
      </c>
      <c r="S27" s="186">
        <f>'Risk Calc'!E94</f>
        <v>9509.2584042285671</v>
      </c>
      <c r="T27" s="187">
        <f>'Risk Calc'!E221</f>
        <v>13.632676980362412</v>
      </c>
      <c r="U27" s="187">
        <f>'Risk Calc'!E93</f>
        <v>18.376043209246241</v>
      </c>
      <c r="V27" s="187">
        <f>'Risk Calc'!E92</f>
        <v>81.507929179101993</v>
      </c>
      <c r="W27" s="188">
        <v>1000000</v>
      </c>
      <c r="X27" s="189" t="str">
        <f t="shared" si="0"/>
        <v>✓</v>
      </c>
      <c r="Y27" s="190">
        <f>IF($B$12="Yes",'Risk Calc'!E97,"")</f>
        <v>2.7265353960724825E-2</v>
      </c>
      <c r="Z27" s="131">
        <f>IF($B$12="Yes",'Risk Calc'!E99,0)</f>
        <v>1590.4789810422815</v>
      </c>
    </row>
    <row r="28" spans="1:26" ht="15" customHeight="1" x14ac:dyDescent="0.25">
      <c r="A28" s="3" t="s">
        <v>181</v>
      </c>
      <c r="B28" s="343">
        <v>2.0000000000000001E-4</v>
      </c>
      <c r="C28" s="191">
        <f>'Risk Calc'!F17</f>
        <v>0.4</v>
      </c>
      <c r="D28" s="192">
        <f>'Risk Calc'!F19</f>
        <v>5</v>
      </c>
      <c r="E28" s="12">
        <v>100000</v>
      </c>
      <c r="F28" s="13">
        <v>2.5000000000000001E-4</v>
      </c>
      <c r="G28" s="16">
        <v>0.9</v>
      </c>
      <c r="H28" s="193">
        <f>'Risk Calc'!F215</f>
        <v>0</v>
      </c>
      <c r="I28" s="194">
        <f>'Risk Calc'!F217</f>
        <v>1.1554716539994202E-2</v>
      </c>
      <c r="J28" s="194">
        <f>'Risk Calc'!F220</f>
        <v>1.704487401950161E-2</v>
      </c>
      <c r="K28" s="125">
        <f>'Risk Calc'!F222</f>
        <v>994.28431780426058</v>
      </c>
      <c r="L28" s="193">
        <f>'Risk Calc'!F60</f>
        <v>0</v>
      </c>
      <c r="M28" s="194">
        <f>'Risk Calc'!F166</f>
        <v>1.1554716539994202E-2</v>
      </c>
      <c r="N28" s="194">
        <f>'Risk Calc'!F90</f>
        <v>1.704487401950161E-2</v>
      </c>
      <c r="O28" s="125">
        <f>'Risk Calc'!F95</f>
        <v>994.28431780426058</v>
      </c>
      <c r="P28" s="191">
        <f>'Risk Calc'!F25</f>
        <v>0.39200000000000002</v>
      </c>
      <c r="Q28" s="194">
        <f>'Risk Calc'!F165</f>
        <v>2.4650125123759317E-4</v>
      </c>
      <c r="R28" s="194">
        <f>'Risk Calc'!F57</f>
        <v>9.4853871422974523E-2</v>
      </c>
      <c r="S28" s="125">
        <f>'Risk Calc'!F94</f>
        <v>5533.1424996735141</v>
      </c>
      <c r="T28" s="195">
        <f>'Risk Calc'!F221</f>
        <v>8.5224370097508046</v>
      </c>
      <c r="U28" s="195">
        <f>'Risk Calc'!F93</f>
        <v>8.5224370097508046</v>
      </c>
      <c r="V28" s="195">
        <f>'Risk Calc'!F92</f>
        <v>47.426935711487261</v>
      </c>
      <c r="W28" s="188">
        <v>1000000</v>
      </c>
      <c r="X28" s="189" t="str">
        <f t="shared" si="0"/>
        <v>✓</v>
      </c>
      <c r="Y28" s="190">
        <f>IF($B$12="Yes",'Risk Calc'!F97,"")</f>
        <v>1.704487401950161E-2</v>
      </c>
      <c r="Z28" s="131">
        <f>IF($B$12="Yes",'Risk Calc'!F99,0)</f>
        <v>994.28431780426058</v>
      </c>
    </row>
    <row r="29" spans="1:26" ht="15" customHeight="1" x14ac:dyDescent="0.25">
      <c r="A29" s="181" t="s">
        <v>182</v>
      </c>
      <c r="B29" s="343">
        <v>2.0000000000000002E-5</v>
      </c>
      <c r="C29" s="182">
        <f>'Risk Calc'!G17</f>
        <v>0.04</v>
      </c>
      <c r="D29" s="183">
        <f>'Risk Calc'!G19</f>
        <v>50</v>
      </c>
      <c r="E29" s="12">
        <v>350000</v>
      </c>
      <c r="F29" s="13">
        <v>2.0000000000000002E-5</v>
      </c>
      <c r="G29" s="16">
        <v>1.2</v>
      </c>
      <c r="H29" s="184">
        <f>'Risk Calc'!G215</f>
        <v>0</v>
      </c>
      <c r="I29" s="185">
        <f>'Risk Calc'!G217</f>
        <v>4.0278510495778451E-7</v>
      </c>
      <c r="J29" s="185">
        <f>'Risk Calc'!G220</f>
        <v>4.7576624123262246E-3</v>
      </c>
      <c r="K29" s="186">
        <f>'Risk Calc'!G222</f>
        <v>277.53030738569646</v>
      </c>
      <c r="L29" s="184">
        <f>'Risk Calc'!G60</f>
        <v>0</v>
      </c>
      <c r="M29" s="185">
        <f>'Risk Calc'!G166</f>
        <v>4.0278510495778451E-7</v>
      </c>
      <c r="N29" s="185">
        <f>'Risk Calc'!G90</f>
        <v>4.7576624123262246E-3</v>
      </c>
      <c r="O29" s="186">
        <f>'Risk Calc'!G95</f>
        <v>277.53030738569646</v>
      </c>
      <c r="P29" s="182">
        <f>'Risk Calc'!G25</f>
        <v>3.9199999999999999E-2</v>
      </c>
      <c r="Q29" s="185">
        <f>'Risk Calc'!G165</f>
        <v>1.1590293608181347E-11</v>
      </c>
      <c r="R29" s="185">
        <f>'Risk Calc'!G57</f>
        <v>9.1042477471591221E-3</v>
      </c>
      <c r="S29" s="186">
        <f>'Risk Calc'!G94</f>
        <v>531.08111858428208</v>
      </c>
      <c r="T29" s="187">
        <f>'Risk Calc'!G221</f>
        <v>2.3788312061631123</v>
      </c>
      <c r="U29" s="187">
        <f>'Risk Calc'!G93</f>
        <v>2.3788312061631123</v>
      </c>
      <c r="V29" s="187">
        <f>'Risk Calc'!G92</f>
        <v>4.5521238735795606</v>
      </c>
      <c r="W29" s="188">
        <v>1000000</v>
      </c>
      <c r="X29" s="189" t="str">
        <f t="shared" si="0"/>
        <v>✓</v>
      </c>
      <c r="Y29" s="190">
        <f>IF($B$12="Yes",'Risk Calc'!G97,"")</f>
        <v>4.7576624123262246E-3</v>
      </c>
      <c r="Z29" s="131">
        <f>IF($B$12="Yes",'Risk Calc'!G99,0)</f>
        <v>277.53030738569646</v>
      </c>
    </row>
    <row r="30" spans="1:26" ht="15" customHeight="1" x14ac:dyDescent="0.25">
      <c r="A30" s="15" t="s">
        <v>183</v>
      </c>
      <c r="B30" s="343">
        <v>5.0000000000000001E-4</v>
      </c>
      <c r="C30" s="191">
        <f>'Risk Calc'!H17</f>
        <v>1</v>
      </c>
      <c r="D30" s="192">
        <f>'Risk Calc'!H19</f>
        <v>2</v>
      </c>
      <c r="E30" s="12">
        <v>55000</v>
      </c>
      <c r="F30" s="13">
        <v>1.1999999999999999E-3</v>
      </c>
      <c r="G30" s="16">
        <v>1</v>
      </c>
      <c r="H30" s="193">
        <f>'Risk Calc'!H215</f>
        <v>7.5605468750000002E-2</v>
      </c>
      <c r="I30" s="194">
        <f>'Risk Calc'!H217</f>
        <v>1.9972580780544529E-2</v>
      </c>
      <c r="J30" s="194">
        <f>'Risk Calc'!H220</f>
        <v>6.3749879157835254E-2</v>
      </c>
      <c r="K30" s="125">
        <f>'Risk Calc'!H222</f>
        <v>3718.7429508737232</v>
      </c>
      <c r="L30" s="193">
        <f>'Risk Calc'!H60</f>
        <v>0.28164530800008813</v>
      </c>
      <c r="M30" s="194">
        <f>'Risk Calc'!H166</f>
        <v>1.1351471938479659E-2</v>
      </c>
      <c r="N30" s="194">
        <f>'Risk Calc'!H90</f>
        <v>0.10399707531253877</v>
      </c>
      <c r="O30" s="125">
        <f>'Risk Calc'!H95</f>
        <v>6066.4960598980952</v>
      </c>
      <c r="P30" s="191">
        <f>'Risk Calc'!H25</f>
        <v>0.98</v>
      </c>
      <c r="Q30" s="194">
        <f>'Risk Calc'!H165</f>
        <v>6.4839026410326746E-4</v>
      </c>
      <c r="R30" s="194">
        <f>'Risk Calc'!H57</f>
        <v>0.33981184265390796</v>
      </c>
      <c r="S30" s="125">
        <f>'Risk Calc'!H94</f>
        <v>19822.357488144629</v>
      </c>
      <c r="T30" s="195">
        <f>'Risk Calc'!H221</f>
        <v>31.874939578917626</v>
      </c>
      <c r="U30" s="195">
        <f>'Risk Calc'!H93</f>
        <v>51.998537656269384</v>
      </c>
      <c r="V30" s="195">
        <f>'Risk Calc'!H92</f>
        <v>169.90592132695397</v>
      </c>
      <c r="W30" s="188">
        <v>1000000</v>
      </c>
      <c r="X30" s="189" t="str">
        <f t="shared" si="0"/>
        <v>✓</v>
      </c>
      <c r="Y30" s="190">
        <f>IF($B$12="Yes",'Risk Calc'!H97,"")</f>
        <v>5.2184558833927697E-2</v>
      </c>
      <c r="Z30" s="131">
        <f>IF($B$12="Yes",'Risk Calc'!H99,0)</f>
        <v>3044.099265312449</v>
      </c>
    </row>
    <row r="31" spans="1:26" ht="15" customHeight="1" x14ac:dyDescent="0.25">
      <c r="A31" s="15" t="s">
        <v>184</v>
      </c>
      <c r="B31" s="343">
        <v>5.9999999999999995E-4</v>
      </c>
      <c r="C31" s="182">
        <f>B31*$B$15</f>
        <v>1.2</v>
      </c>
      <c r="D31" s="183">
        <f>IF(C31=0,999,$B$16/C31)</f>
        <v>1.6666666666666667</v>
      </c>
      <c r="E31" s="11">
        <v>40000</v>
      </c>
      <c r="F31" s="14">
        <v>1.5E-3</v>
      </c>
      <c r="G31" s="15">
        <v>1</v>
      </c>
      <c r="H31" s="184">
        <v>0</v>
      </c>
      <c r="I31" s="185">
        <f>0</f>
        <v>0</v>
      </c>
      <c r="J31" s="185">
        <f>MIN($B$11,MAX(0,$B$11-'Risk Calc'!$B$102*SUMPRODUCT(NORMDIST('Risk Calc'!$A$102:$A$141,0,'Risk Calc'!$B$7,FALSE()),NORMDIST(($B$16-'Risk Calc'!$A$102:$A$141)/(C31/2),0,1,TRUE())-NORMDIST((-$B$16-'Risk Calc'!$A$102:$A$141)/(C31/2),0,1,TRUE()))))</f>
        <v>6.2263362015556711E-2</v>
      </c>
      <c r="K31" s="186">
        <f>J31*$B$10*$B$9</f>
        <v>3632.0294509074747</v>
      </c>
      <c r="L31" s="184">
        <f>C31*MAX(0,1.04-EXP(0.38*LN(D31)-0.54))</f>
        <v>0.39888844553683361</v>
      </c>
      <c r="M31" s="185">
        <f>0</f>
        <v>0</v>
      </c>
      <c r="N31" s="185">
        <f>MIN($B$11,MAX(0,$B$11-'Risk Calc'!$B$102*SUMPRODUCT(NORMDIST('Risk Calc'!$A$102:$A$141,0,'Risk Calc'!$B$7,FALSE()),NORMDIST((($B$16-C31*MAX(0,1.04-EXP(0.38*LN(D31)-0.54)))-'Risk Calc'!$A$102:$A$141)/(C31/2),0,1,TRUE())-NORMDIST((-($B$16-C31*MAX(0,1.04-EXP(0.38*LN(D31)-0.54)))-'Risk Calc'!$A$102:$A$141)/(C31/2),0,1,TRUE()))))</f>
        <v>0.14766791359990505</v>
      </c>
      <c r="O31" s="186">
        <f>N31*$B$10*$B$9</f>
        <v>8613.9616266611283</v>
      </c>
      <c r="P31" s="182">
        <f>0.98*C31</f>
        <v>1.1759999999999999</v>
      </c>
      <c r="Q31" s="185">
        <f>0</f>
        <v>0</v>
      </c>
      <c r="R31" s="185">
        <f>MIN($B$11,MAX(0,$B$11-'Risk Calc'!$B$102*SUMPRODUCT(NORMDIST('Risk Calc'!$A$102:$A$141,0,'Risk Calc'!$B$7,FALSE()),NORMDIST((($B$16-0.98*C31)-'Risk Calc'!$A$102:$A$141)/(C31/2),0,1,TRUE())-NORMDIST((-($B$16-0.98*C31)-'Risk Calc'!$A$102:$A$141)/(C31/2),0,1,TRUE()))))</f>
        <v>0.44326121819663328</v>
      </c>
      <c r="S31" s="186">
        <f>R31*$B$10*$B$9</f>
        <v>25856.904394803609</v>
      </c>
      <c r="T31" s="181">
        <f>J31*$B$10</f>
        <v>31.131681007778354</v>
      </c>
      <c r="U31" s="181">
        <f>N31*$B$10</f>
        <v>73.833956799952531</v>
      </c>
      <c r="V31" s="181">
        <f>R31*$B$10</f>
        <v>221.63060909831663</v>
      </c>
      <c r="W31" s="188">
        <v>1000000</v>
      </c>
      <c r="X31" s="189" t="str">
        <f t="shared" si="0"/>
        <v>✓</v>
      </c>
      <c r="Y31" s="190">
        <f>IF($B$12="Yes",MIN($B$11,MAX(0,$B$11-'Risk Calc'!$B$102*SUMPRODUCT(NORMDIST('Risk Calc'!$A$102:$A$141,0,'Risk Calc'!$B$7,FALSE()),NORMDIST(($B$16-'Risk Calc'!$A$102:$A$141)/(C31/2),0,1,TRUE())-NORMDIST((-$B$16-'Risk Calc'!$A$102:$A$141)/(C31/2),0,1,TRUE())))),"")</f>
        <v>6.2263362015556711E-2</v>
      </c>
      <c r="Z31" s="131">
        <f>IF($B$12="Yes",Y31*$B$10*$B$9,0)</f>
        <v>3632.0294509074747</v>
      </c>
    </row>
    <row r="32" spans="1:26" ht="15" customHeight="1" x14ac:dyDescent="0.25">
      <c r="A32" s="196" t="s">
        <v>185</v>
      </c>
    </row>
    <row r="33" spans="1:8" ht="15" customHeight="1" x14ac:dyDescent="0.25">
      <c r="A33" s="196" t="s">
        <v>186</v>
      </c>
    </row>
    <row r="34" spans="1:8" ht="15" customHeight="1" x14ac:dyDescent="0.25">
      <c r="A34" s="196" t="s">
        <v>187</v>
      </c>
    </row>
    <row r="35" spans="1:8" ht="15" customHeight="1" x14ac:dyDescent="0.25">
      <c r="A35" s="197" t="s">
        <v>188</v>
      </c>
    </row>
    <row r="36" spans="1:8" ht="15" customHeight="1" x14ac:dyDescent="0.25">
      <c r="A36" t="s">
        <v>130</v>
      </c>
      <c r="B36" t="s">
        <v>189</v>
      </c>
      <c r="C36" t="s">
        <v>190</v>
      </c>
      <c r="D36" t="s">
        <v>84</v>
      </c>
      <c r="H36" t="s">
        <v>191</v>
      </c>
    </row>
    <row r="37" spans="1:8" ht="15" customHeight="1" x14ac:dyDescent="0.25">
      <c r="A37" t="str">
        <f>IF($B$15&gt;$W$25,A25&amp;" (N/A)",A25)</f>
        <v>BCM</v>
      </c>
      <c r="B37" s="131">
        <f>IF($B$15&gt;$W$25,0,K25)</f>
        <v>3718.7429508737232</v>
      </c>
      <c r="C37" s="131">
        <f>IF($B$15&gt;$W$25,0,O25)</f>
        <v>6066.4960598980952</v>
      </c>
      <c r="D37" s="131">
        <f>IF($B$15&gt;$W$25,0,S25)</f>
        <v>19822.357488144629</v>
      </c>
      <c r="E37" s="131"/>
      <c r="F37" s="131"/>
      <c r="G37" s="131"/>
      <c r="H37" s="131">
        <f>IF($B$12="Yes",IF($B$15&gt;$W$25,0,Z25),0)</f>
        <v>3044.099265312449</v>
      </c>
    </row>
    <row r="38" spans="1:8" ht="15" customHeight="1" x14ac:dyDescent="0.25">
      <c r="A38" t="str">
        <f>IF($B$15&gt;$W$26,A26&amp;" (N/A)",A26)</f>
        <v>PCM</v>
      </c>
      <c r="B38" s="131">
        <f>IF($B$15&gt;$W$26,0,K26)</f>
        <v>1786.3810988273713</v>
      </c>
      <c r="C38" s="131">
        <f>IF($B$15&gt;$W$26,0,O26)</f>
        <v>2608.5203930278913</v>
      </c>
      <c r="D38" s="131">
        <f>IF($B$15&gt;$W$26,0,S26)</f>
        <v>10865.255217125377</v>
      </c>
      <c r="E38" s="131"/>
      <c r="F38" s="131"/>
      <c r="G38" s="131"/>
      <c r="H38" s="131">
        <f>IF($B$12="Yes",IF($B$15&gt;$W$26,0,Z26),0)</f>
        <v>1786.3810988273713</v>
      </c>
    </row>
    <row r="39" spans="1:8" ht="15" customHeight="1" x14ac:dyDescent="0.25">
      <c r="A39" t="str">
        <f>IF($B$15&gt;$W$27,A27&amp;" (N/A)",A27)</f>
        <v>UCM Manual</v>
      </c>
      <c r="B39" s="131">
        <f>IF($B$15&gt;$W$27,0,K27)</f>
        <v>1590.4789810422815</v>
      </c>
      <c r="C39" s="131">
        <f>IF($B$15&gt;$W$27,0,O27)</f>
        <v>2143.8717077453948</v>
      </c>
      <c r="D39" s="131">
        <f>IF($B$15&gt;$W$27,0,S27)</f>
        <v>9509.2584042285671</v>
      </c>
      <c r="E39" s="131"/>
      <c r="F39" s="131"/>
      <c r="G39" s="131"/>
      <c r="H39" s="131">
        <f>IF($B$12="Yes",IF($B$15&gt;$W$27,0,Z27),0)</f>
        <v>1590.4789810422815</v>
      </c>
    </row>
    <row r="40" spans="1:8" ht="15" customHeight="1" x14ac:dyDescent="0.25">
      <c r="A40" t="str">
        <f>IF($B$15&gt;$W$28,A28&amp;" (N/A)",A28)</f>
        <v>UCM Automated</v>
      </c>
      <c r="B40" s="131">
        <f>IF($B$15&gt;$W$28,0,K28)</f>
        <v>994.28431780426058</v>
      </c>
      <c r="C40" s="131">
        <f>IF($B$15&gt;$W$28,0,O28)</f>
        <v>994.28431780426058</v>
      </c>
      <c r="D40" s="131">
        <f>IF($B$15&gt;$W$28,0,S28)</f>
        <v>5533.1424996735141</v>
      </c>
      <c r="E40" s="131"/>
      <c r="F40" s="131"/>
      <c r="G40" s="131"/>
      <c r="H40" s="131">
        <f>IF($B$12="Yes",IF($B$15&gt;$W$28,0,Z28),0)</f>
        <v>994.28431780426058</v>
      </c>
    </row>
    <row r="41" spans="1:8" ht="15" customHeight="1" x14ac:dyDescent="0.25">
      <c r="A41" t="str">
        <f>IF($B$15&gt;$W$29,A29&amp;" (N/A)",A29)</f>
        <v>Deadweight</v>
      </c>
      <c r="B41" s="131">
        <f>IF($B$15&gt;$W$29,0,K29)</f>
        <v>277.53030738569646</v>
      </c>
      <c r="C41" s="131">
        <f>IF($B$15&gt;$W$29,0,O29)</f>
        <v>277.53030738569646</v>
      </c>
      <c r="D41" s="131">
        <f>IF($B$15&gt;$W$29,0,S29)</f>
        <v>531.08111858428208</v>
      </c>
      <c r="E41" s="131"/>
      <c r="F41" s="131"/>
      <c r="G41" s="131"/>
      <c r="H41" s="131">
        <f>IF($B$12="Yes",IF($B$15&gt;$W$29,0,Z29),0)</f>
        <v>277.53030738569646</v>
      </c>
    </row>
    <row r="42" spans="1:8" ht="15" customHeight="1" x14ac:dyDescent="0.25">
      <c r="A42" t="str">
        <f>IF($B$15&gt;$W$30,A30&amp;" (N/A)",A30)</f>
        <v>Competitor 1</v>
      </c>
      <c r="B42" s="131">
        <f>IF($B$15&gt;$W$30,0,K30)</f>
        <v>3718.7429508737232</v>
      </c>
      <c r="C42" s="131">
        <f>IF($B$15&gt;$W$30,0,O30)</f>
        <v>6066.4960598980952</v>
      </c>
      <c r="D42" s="131">
        <f>IF($B$15&gt;$W$30,0,S30)</f>
        <v>19822.357488144629</v>
      </c>
      <c r="E42" s="131"/>
      <c r="F42" s="131"/>
      <c r="G42" s="131"/>
      <c r="H42" s="131">
        <f>IF($B$12="Yes",IF($B$15&gt;$W$30,0,Z30),0)</f>
        <v>3044.099265312449</v>
      </c>
    </row>
    <row r="43" spans="1:8" ht="15" customHeight="1" x14ac:dyDescent="0.25">
      <c r="A43" t="str">
        <f>IF($B$15&gt;$W$31,A31&amp;" (N/A)",A31)</f>
        <v>Competitor 2</v>
      </c>
      <c r="B43" s="131">
        <f>IF($B$15&gt;$W$31,0,K31)</f>
        <v>3632.0294509074747</v>
      </c>
      <c r="C43" s="131">
        <f>IF($B$15&gt;$W$31,0,O31)</f>
        <v>8613.9616266611283</v>
      </c>
      <c r="D43" s="131">
        <f>IF($B$15&gt;$W$31,0,S31)</f>
        <v>25856.904394803609</v>
      </c>
      <c r="E43" s="131"/>
      <c r="F43" s="131"/>
      <c r="G43" s="131"/>
      <c r="H43" s="131">
        <f>IF($B$12="Yes",IF($B$15&gt;$W$31,0,Z31),0)</f>
        <v>3632.0294509074747</v>
      </c>
    </row>
    <row r="44" spans="1:8" ht="15" customHeight="1" x14ac:dyDescent="0.25"/>
    <row r="45" spans="1:8" ht="15" customHeight="1" x14ac:dyDescent="0.25">
      <c r="A45" s="198" t="s">
        <v>192</v>
      </c>
    </row>
    <row r="46" spans="1:8" ht="15" customHeight="1" x14ac:dyDescent="0.25">
      <c r="A46" t="s">
        <v>130</v>
      </c>
      <c r="B46" t="s">
        <v>193</v>
      </c>
      <c r="C46" t="s">
        <v>194</v>
      </c>
      <c r="D46" t="s">
        <v>195</v>
      </c>
      <c r="H46" t="s">
        <v>196</v>
      </c>
    </row>
    <row r="47" spans="1:8" ht="15" customHeight="1" x14ac:dyDescent="0.25">
      <c r="A47" t="str">
        <f>IF($B$15&gt;$W$25,Breakeven!A31&amp;" (N/A)",Breakeven!A31)</f>
        <v>BCM</v>
      </c>
      <c r="B47" s="129">
        <f>Breakeven!B79</f>
        <v>0.46208968595722538</v>
      </c>
      <c r="C47" s="129">
        <f>Breakeven!C79</f>
        <v>0.50759938926182802</v>
      </c>
      <c r="D47" s="129">
        <f>Breakeven!D79</f>
        <v>0.7780938218445016</v>
      </c>
      <c r="E47" s="129"/>
      <c r="F47" s="129"/>
      <c r="G47" s="129"/>
      <c r="H47" s="132">
        <f>Breakeven!E79</f>
        <v>0.45491020374123869</v>
      </c>
    </row>
    <row r="48" spans="1:8" ht="15" customHeight="1" x14ac:dyDescent="0.25">
      <c r="A48" t="str">
        <f>IF($B$15&gt;$W$26,Breakeven!A32&amp;" (N/A)",Breakeven!A32)</f>
        <v>PCM</v>
      </c>
      <c r="B48" s="129">
        <f>Breakeven!B80</f>
        <v>0.62262492051138685</v>
      </c>
      <c r="C48" s="129">
        <f>Breakeven!C80</f>
        <v>0.63186613263160718</v>
      </c>
      <c r="D48" s="129">
        <f>Breakeven!D80</f>
        <v>0.74255202104576756</v>
      </c>
      <c r="E48" s="129"/>
      <c r="F48" s="129"/>
      <c r="G48" s="129"/>
      <c r="H48" s="132">
        <f>Breakeven!E80</f>
        <v>0.62262492051138685</v>
      </c>
    </row>
    <row r="49" spans="1:10" ht="15" customHeight="1" x14ac:dyDescent="0.25">
      <c r="A49" t="str">
        <f>IF($B$15&gt;$W$27,Breakeven!A33&amp;" (N/A)",Breakeven!A33)</f>
        <v>UCM Manual</v>
      </c>
      <c r="B49" s="129">
        <f>Breakeven!B81</f>
        <v>1.0773651376314703</v>
      </c>
      <c r="C49" s="129">
        <f>Breakeven!C81</f>
        <v>1.0903668029131304</v>
      </c>
      <c r="D49" s="129">
        <f>Breakeven!D81</f>
        <v>1.2990136829552013</v>
      </c>
      <c r="E49" s="129"/>
      <c r="F49" s="129"/>
      <c r="G49" s="129"/>
      <c r="H49" s="132">
        <f>Breakeven!E81</f>
        <v>1.0773651376314703</v>
      </c>
    </row>
    <row r="50" spans="1:10" ht="15" customHeight="1" x14ac:dyDescent="0.25">
      <c r="A50" t="str">
        <f>IF($B$15&gt;$W$28,Breakeven!A34&amp;" (N/A)",Breakeven!A34)</f>
        <v>UCM Automated</v>
      </c>
      <c r="B50" s="129">
        <f>Breakeven!B82</f>
        <v>1.763090839026519</v>
      </c>
      <c r="C50" s="129">
        <f>Breakeven!C82</f>
        <v>1.7688509699216968</v>
      </c>
      <c r="D50" s="129">
        <f>Breakeven!D82</f>
        <v>1.9768964529901458</v>
      </c>
      <c r="E50" s="129"/>
      <c r="F50" s="129"/>
      <c r="G50" s="129"/>
      <c r="H50" s="132">
        <f>Breakeven!E82</f>
        <v>1.7542100612769331</v>
      </c>
    </row>
    <row r="51" spans="1:10" ht="15" customHeight="1" x14ac:dyDescent="0.25">
      <c r="A51" t="str">
        <f>IF($B$15&gt;$W$29,Breakeven!A35&amp;" (N/A)",Breakeven!A35)</f>
        <v>Deadweight</v>
      </c>
      <c r="B51" s="129">
        <f>Breakeven!B83</f>
        <v>11.775602889653916</v>
      </c>
      <c r="C51" s="129">
        <f>Breakeven!C83</f>
        <v>11.775602889653916</v>
      </c>
      <c r="D51" s="129">
        <f>Breakeven!D83</f>
        <v>11.876920270078999</v>
      </c>
      <c r="E51" s="129"/>
      <c r="F51" s="129"/>
      <c r="G51" s="129"/>
      <c r="H51" s="132">
        <f>Breakeven!E83</f>
        <v>11.775602889653916</v>
      </c>
    </row>
    <row r="52" spans="1:10" ht="15" customHeight="1" x14ac:dyDescent="0.25">
      <c r="A52" t="str">
        <f>IF($B$15&gt;$W$30,Breakeven!A36&amp;" (N/A)",Breakeven!A36)</f>
        <v>Competitor</v>
      </c>
      <c r="B52" s="129">
        <f>Breakeven!B84</f>
        <v>1.458833628374764</v>
      </c>
      <c r="C52" s="129">
        <f>Breakeven!C84</f>
        <v>3.3354511824495248</v>
      </c>
      <c r="D52" s="129">
        <f>Breakeven!D84</f>
        <v>0</v>
      </c>
      <c r="E52" s="129"/>
      <c r="F52" s="129"/>
      <c r="G52" s="129"/>
      <c r="H52" s="132">
        <f>Breakeven!E84</f>
        <v>1.223421154980052</v>
      </c>
    </row>
    <row r="53" spans="1:10" ht="15" customHeight="1" x14ac:dyDescent="0.25">
      <c r="A53" t="str">
        <f>IF($B$15&gt;$W$31,Breakeven!A37&amp;" (N/A)",Breakeven!A37)</f>
        <v>Competitor 2</v>
      </c>
      <c r="B53" s="129">
        <f>Breakeven!B85</f>
        <v>1.1694911476412366</v>
      </c>
      <c r="C53" s="129">
        <f>Breakeven!C85</f>
        <v>8.504294329115508</v>
      </c>
      <c r="D53" s="129">
        <f>Breakeven!D85</f>
        <v>0</v>
      </c>
      <c r="E53" s="129"/>
      <c r="F53" s="129"/>
      <c r="G53" s="129"/>
      <c r="H53" s="132">
        <f>Breakeven!E85</f>
        <v>0.90155126558562293</v>
      </c>
    </row>
    <row r="54" spans="1:10" ht="15" customHeight="1" x14ac:dyDescent="0.25"/>
    <row r="55" spans="1:10" ht="15" customHeight="1" x14ac:dyDescent="0.25">
      <c r="A55" s="199" t="s">
        <v>197</v>
      </c>
    </row>
    <row r="56" spans="1:10" ht="15" customHeight="1" x14ac:dyDescent="0.25">
      <c r="A56" s="118" t="s">
        <v>130</v>
      </c>
      <c r="B56" s="118" t="s">
        <v>198</v>
      </c>
      <c r="C56" s="118" t="s">
        <v>139</v>
      </c>
      <c r="D56" s="118" t="s">
        <v>199</v>
      </c>
      <c r="E56" s="200"/>
      <c r="F56" s="200"/>
      <c r="G56" s="200"/>
      <c r="H56" s="118" t="s">
        <v>200</v>
      </c>
      <c r="I56" s="200"/>
      <c r="J56" s="200"/>
    </row>
    <row r="57" spans="1:10" ht="15" customHeight="1" x14ac:dyDescent="0.25">
      <c r="A57" t="str">
        <f>IF($B$15&gt;$W$25,Breakeven!A31&amp;" (N/A)",Breakeven!A31)</f>
        <v>BCM</v>
      </c>
      <c r="B57" s="131">
        <f>MAX(0,Breakeven!B52)</f>
        <v>54102.051527534408</v>
      </c>
      <c r="C57" s="131">
        <f>MAX(0,Breakeven!C52)</f>
        <v>49251.438297347107</v>
      </c>
      <c r="D57" s="131">
        <f>MAX(0,Breakeven!D52)</f>
        <v>32129.801443142846</v>
      </c>
      <c r="E57" s="131"/>
      <c r="F57" s="131"/>
      <c r="G57" s="131"/>
      <c r="H57" s="131">
        <f>MAX(0,Breakeven!E52)</f>
        <v>54955.900734687544</v>
      </c>
      <c r="I57" s="131"/>
      <c r="J57" s="131"/>
    </row>
    <row r="58" spans="1:10" ht="15" customHeight="1" x14ac:dyDescent="0.25">
      <c r="A58" t="str">
        <f>IF($B$15&gt;$W$26,Breakeven!A32&amp;" (N/A)",Breakeven!A32)</f>
        <v>PCM</v>
      </c>
      <c r="B58" s="131">
        <f>MAX(0,Breakeven!B53)</f>
        <v>56213.618901172624</v>
      </c>
      <c r="C58" s="131">
        <f>MAX(0,Breakeven!C53)</f>
        <v>55391.479606972105</v>
      </c>
      <c r="D58" s="131">
        <f>MAX(0,Breakeven!D53)</f>
        <v>47134.744782874623</v>
      </c>
      <c r="E58" s="131"/>
      <c r="F58" s="131"/>
      <c r="G58" s="131"/>
      <c r="H58" s="131">
        <f>MAX(0,Breakeven!E53)</f>
        <v>56213.618901172624</v>
      </c>
      <c r="I58" s="131"/>
      <c r="J58" s="131"/>
    </row>
    <row r="59" spans="1:10" ht="15" customHeight="1" x14ac:dyDescent="0.25">
      <c r="A59" t="str">
        <f>IF($B$15&gt;$W$27,Breakeven!A33&amp;" (N/A)",Breakeven!A33)</f>
        <v>UCM Manual</v>
      </c>
      <c r="B59" s="131">
        <f>MAX(0,Breakeven!B54)</f>
        <v>46409.521018957719</v>
      </c>
      <c r="C59" s="131">
        <f>MAX(0,Breakeven!C54)</f>
        <v>45856.128292254609</v>
      </c>
      <c r="D59" s="131">
        <f>MAX(0,Breakeven!D54)</f>
        <v>38490.741595771426</v>
      </c>
      <c r="E59" s="131"/>
      <c r="F59" s="131"/>
      <c r="G59" s="131"/>
      <c r="H59" s="131">
        <f>MAX(0,Breakeven!E54)</f>
        <v>46409.521018957719</v>
      </c>
      <c r="I59" s="131"/>
      <c r="J59" s="131"/>
    </row>
    <row r="60" spans="1:10" ht="15" customHeight="1" x14ac:dyDescent="0.25">
      <c r="A60" t="str">
        <f>IF($B$15&gt;$W$28,Breakeven!A34&amp;" (N/A)",Breakeven!A34)</f>
        <v>UCM Automated</v>
      </c>
      <c r="B60" s="131">
        <f>MAX(0,Breakeven!B55)</f>
        <v>56718.575008429209</v>
      </c>
      <c r="C60" s="131">
        <f>MAX(0,Breakeven!C55)</f>
        <v>56533.875210768485</v>
      </c>
      <c r="D60" s="131">
        <f>MAX(0,Breakeven!D55)</f>
        <v>50584.338825002924</v>
      </c>
      <c r="E60" s="131"/>
      <c r="F60" s="131"/>
      <c r="G60" s="131"/>
      <c r="H60" s="131">
        <f>MAX(0,Breakeven!E55)</f>
        <v>57005.715682195732</v>
      </c>
      <c r="J60" s="131"/>
    </row>
    <row r="61" spans="1:10" ht="15" customHeight="1" x14ac:dyDescent="0.25">
      <c r="A61" t="str">
        <f>IF($B$15&gt;$W$29,Breakeven!A35&amp;" (N/A)",Breakeven!A35)</f>
        <v>Deadweight</v>
      </c>
      <c r="B61" s="131">
        <f>MAX(0,Breakeven!B56)</f>
        <v>29722.469692614308</v>
      </c>
      <c r="C61" s="131">
        <f>MAX(0,Breakeven!C56)</f>
        <v>29722.469692614308</v>
      </c>
      <c r="D61" s="131">
        <f>MAX(0,Breakeven!D56)</f>
        <v>29468.91888141571</v>
      </c>
      <c r="E61" s="131"/>
      <c r="F61" s="131"/>
      <c r="G61" s="131"/>
      <c r="H61" s="131">
        <f>MAX(0,Breakeven!E56)</f>
        <v>29722.469692614308</v>
      </c>
    </row>
    <row r="62" spans="1:10" ht="15" customHeight="1" x14ac:dyDescent="0.25">
      <c r="A62" t="str">
        <f>IF($B$15&gt;$W$30,Breakeven!A36&amp;" (N/A)",Breakeven!A36)</f>
        <v>Competitor</v>
      </c>
      <c r="B62" s="131">
        <f>MAX(0,Breakeven!B57)</f>
        <v>37701.35190897237</v>
      </c>
      <c r="C62" s="131">
        <f>MAX(0,Breakeven!C57)</f>
        <v>16489.52330329371</v>
      </c>
      <c r="D62" s="131">
        <f>MAX(0,Breakeven!D57)</f>
        <v>0</v>
      </c>
      <c r="E62" s="131"/>
      <c r="F62" s="131"/>
      <c r="G62" s="131"/>
      <c r="H62" s="131">
        <f>MAX(0,Breakeven!E57)</f>
        <v>44955.900734687544</v>
      </c>
    </row>
    <row r="63" spans="1:10" ht="15" customHeight="1" x14ac:dyDescent="0.25">
      <c r="A63" t="str">
        <f>IF($B$15&gt;$W$31,Breakeven!A37&amp;" (N/A)",Breakeven!A37)</f>
        <v>Competitor 2</v>
      </c>
      <c r="B63" s="131">
        <f>MAX(0,Breakeven!B58)</f>
        <v>34202.909599338629</v>
      </c>
      <c r="C63" s="131">
        <f>MAX(0,Breakeven!C58)</f>
        <v>4703.5060702279588</v>
      </c>
      <c r="D63" s="131">
        <f>MAX(0,Breakeven!D58)</f>
        <v>0</v>
      </c>
      <c r="E63" s="131"/>
      <c r="F63" s="131"/>
      <c r="G63" s="131"/>
      <c r="H63" s="131">
        <f>MAX(0,Breakeven!E58)</f>
        <v>44367.970549092512</v>
      </c>
    </row>
    <row r="64" spans="1:10" ht="15" customHeight="1" x14ac:dyDescent="0.25"/>
    <row r="65" spans="1:11" ht="15" customHeight="1" x14ac:dyDescent="0.25">
      <c r="A65" s="171" t="s">
        <v>201</v>
      </c>
    </row>
    <row r="66" spans="1:11" ht="15" customHeight="1" x14ac:dyDescent="0.25">
      <c r="A66" s="201" t="s">
        <v>202</v>
      </c>
      <c r="B66" s="201" t="s">
        <v>203</v>
      </c>
      <c r="C66" s="201" t="s">
        <v>204</v>
      </c>
      <c r="D66" s="201" t="s">
        <v>205</v>
      </c>
      <c r="E66" s="202"/>
      <c r="F66" s="202"/>
      <c r="G66" s="202"/>
      <c r="H66" s="201" t="s">
        <v>206</v>
      </c>
      <c r="I66" s="201" t="s">
        <v>207</v>
      </c>
      <c r="J66" s="201" t="s">
        <v>208</v>
      </c>
    </row>
    <row r="67" spans="1:11" ht="15" customHeight="1" x14ac:dyDescent="0.25">
      <c r="A67" t="s">
        <v>209</v>
      </c>
      <c r="B67">
        <f>'Standard Switching'!B11</f>
        <v>1</v>
      </c>
      <c r="C67">
        <f>'Standard Switching'!C11</f>
        <v>0</v>
      </c>
      <c r="D67" s="131">
        <f>'Standard Switching'!D11</f>
        <v>0</v>
      </c>
      <c r="E67" s="131"/>
      <c r="F67" s="131"/>
      <c r="G67" s="131"/>
      <c r="H67" s="131">
        <f>'Standard Switching'!E11</f>
        <v>0</v>
      </c>
      <c r="I67" s="131">
        <f>'Standard Switching'!F11</f>
        <v>2000</v>
      </c>
      <c r="J67" s="131">
        <f>'Standard Switching'!N11</f>
        <v>4662.8332501783379</v>
      </c>
    </row>
    <row r="68" spans="1:11" ht="15" customHeight="1" x14ac:dyDescent="0.25">
      <c r="A68" t="s">
        <v>210</v>
      </c>
      <c r="B68">
        <f>'Standard Switching'!B12</f>
        <v>2</v>
      </c>
      <c r="C68">
        <f>'Standard Switching'!C12</f>
        <v>1</v>
      </c>
      <c r="D68" s="131">
        <f>'Standard Switching'!D12</f>
        <v>100</v>
      </c>
      <c r="E68" s="131"/>
      <c r="F68" s="131"/>
      <c r="G68" s="131"/>
      <c r="H68" s="131">
        <f>'Standard Switching'!E12</f>
        <v>0</v>
      </c>
      <c r="I68" s="131">
        <f>'Standard Switching'!F12</f>
        <v>4000</v>
      </c>
      <c r="J68" s="131">
        <f>'Standard Switching'!N12</f>
        <v>5466.1247892315041</v>
      </c>
    </row>
    <row r="69" spans="1:11" ht="15" customHeight="1" x14ac:dyDescent="0.25">
      <c r="A69" t="s">
        <v>211</v>
      </c>
      <c r="B69">
        <f>'Standard Switching'!B13</f>
        <v>3</v>
      </c>
      <c r="C69">
        <f>'Standard Switching'!C13</f>
        <v>2</v>
      </c>
      <c r="D69" s="131">
        <f>'Standard Switching'!D13</f>
        <v>200</v>
      </c>
      <c r="E69" s="131"/>
      <c r="F69" s="131"/>
      <c r="G69" s="131"/>
      <c r="H69" s="131">
        <f>'Standard Switching'!E13</f>
        <v>0</v>
      </c>
      <c r="I69" s="131">
        <f>'Standard Switching'!F13</f>
        <v>6000</v>
      </c>
      <c r="J69" s="131">
        <f>'Standard Switching'!N13</f>
        <v>6994.2843178042604</v>
      </c>
    </row>
    <row r="70" spans="1:11" ht="15" customHeight="1" x14ac:dyDescent="0.25">
      <c r="A70" t="s">
        <v>182</v>
      </c>
      <c r="B70">
        <v>0</v>
      </c>
      <c r="C70">
        <v>0</v>
      </c>
      <c r="D70">
        <v>0</v>
      </c>
      <c r="H70">
        <v>0</v>
      </c>
      <c r="I70">
        <v>0</v>
      </c>
      <c r="J70">
        <f>'Standard Switching'!N14</f>
        <v>0</v>
      </c>
    </row>
    <row r="72" spans="1:11" x14ac:dyDescent="0.25">
      <c r="A72" s="173" t="s">
        <v>212</v>
      </c>
    </row>
    <row r="73" spans="1:11" x14ac:dyDescent="0.25">
      <c r="A73" s="203" t="s">
        <v>130</v>
      </c>
      <c r="B73" s="203" t="s">
        <v>175</v>
      </c>
      <c r="C73" s="203" t="s">
        <v>213</v>
      </c>
      <c r="D73" s="203" t="s">
        <v>214</v>
      </c>
      <c r="E73" s="204"/>
      <c r="F73" s="204"/>
      <c r="G73" s="204"/>
      <c r="H73" s="203" t="s">
        <v>215</v>
      </c>
      <c r="I73" s="203" t="s">
        <v>216</v>
      </c>
      <c r="J73" s="203" t="s">
        <v>217</v>
      </c>
      <c r="K73" s="203" t="s">
        <v>218</v>
      </c>
    </row>
    <row r="74" spans="1:11" x14ac:dyDescent="0.25">
      <c r="A74" t="str">
        <f t="shared" ref="A74:A80" si="1">A25</f>
        <v>BCM</v>
      </c>
      <c r="B74" t="b">
        <f>$B$15&lt;=W25</f>
        <v>1</v>
      </c>
      <c r="C74" s="131">
        <f>IF($B$15&gt;W25,"",CHOOSE('Executive Summary'!$I$2,Breakeven!G31,Breakeven!H31,Breakeven!I31,Breakeven!T31))</f>
        <v>54955.900734687544</v>
      </c>
      <c r="D74" s="129">
        <f>IF($B$15&gt;W25,"",CHOOSE('Executive Summary'!$I$2,Breakeven!J31,Breakeven!K31,Breakeven!L31,Breakeven!U31))</f>
        <v>0.45491020374123869</v>
      </c>
      <c r="E74" s="129"/>
      <c r="F74" s="129"/>
      <c r="G74" s="129"/>
      <c r="H74" s="131">
        <f>IF($B$15&gt;W25,-9999999,CHOOSE('Executive Summary'!$I$2,Breakeven!G31,Breakeven!H31,Breakeven!I31,Breakeven!T31))</f>
        <v>54955.900734687544</v>
      </c>
      <c r="I74" s="131">
        <f>IF($B$15&gt;W25,9999999,CHOOSE('Executive Summary'!$I$2,Breakeven!G31,Breakeven!H31,Breakeven!I31,Breakeven!T31))</f>
        <v>54955.900734687544</v>
      </c>
      <c r="J74" s="129">
        <f t="shared" ref="J74:J80" si="2">IF($B$15&gt;W25,9999,D25)</f>
        <v>2</v>
      </c>
      <c r="K74" s="129">
        <f t="shared" ref="K74:K80" si="3">IF($B$15&gt;W25,0,D25)</f>
        <v>2</v>
      </c>
    </row>
    <row r="75" spans="1:11" x14ac:dyDescent="0.25">
      <c r="A75" t="str">
        <f t="shared" si="1"/>
        <v>PCM</v>
      </c>
      <c r="B75" t="b">
        <f t="shared" ref="B75:B80" si="4">$B$15&lt;=W26</f>
        <v>1</v>
      </c>
      <c r="C75" s="131">
        <f>IF($B$15&gt;W26,"",CHOOSE('Executive Summary'!$I$2,Breakeven!G32,Breakeven!H32,Breakeven!I32,Breakeven!T32))</f>
        <v>56213.618901172624</v>
      </c>
      <c r="D75">
        <f>IF($B$15&gt;W26,"",CHOOSE('Executive Summary'!$I$2,Breakeven!J32,Breakeven!K32,Breakeven!L32,Breakeven!U32))</f>
        <v>0.62262492051138685</v>
      </c>
      <c r="H75">
        <f>IF($B$15&gt;W26,-9999999,CHOOSE('Executive Summary'!$I$2,Breakeven!G32,Breakeven!H32,Breakeven!I32,Breakeven!T32))</f>
        <v>56213.618901172624</v>
      </c>
      <c r="I75">
        <f>IF($B$15&gt;W26,9999999,CHOOSE('Executive Summary'!$I$2,Breakeven!G32,Breakeven!H32,Breakeven!I32,Breakeven!T32))</f>
        <v>56213.618901172624</v>
      </c>
      <c r="J75">
        <f t="shared" si="2"/>
        <v>3.0303030303030303</v>
      </c>
      <c r="K75">
        <f t="shared" si="3"/>
        <v>3.0303030303030303</v>
      </c>
    </row>
    <row r="76" spans="1:11" x14ac:dyDescent="0.25">
      <c r="A76" t="str">
        <f t="shared" si="1"/>
        <v>UCM Manual</v>
      </c>
      <c r="B76" t="b">
        <f t="shared" si="4"/>
        <v>1</v>
      </c>
      <c r="C76" s="131">
        <f>IF($B$15&gt;W27,"",CHOOSE('Executive Summary'!$I$2,Breakeven!G33,Breakeven!H33,Breakeven!I33,Breakeven!T33))</f>
        <v>46409.521018957719</v>
      </c>
      <c r="D76" s="129">
        <f>IF($B$15&gt;W27,"",CHOOSE('Executive Summary'!$I$2,Breakeven!J33,Breakeven!K33,Breakeven!L33,Breakeven!U33))</f>
        <v>1.0773651376314703</v>
      </c>
      <c r="E76" s="129"/>
      <c r="F76" s="129"/>
      <c r="G76" s="129"/>
      <c r="H76" s="131">
        <f>IF($B$15&gt;W27,-9999999,CHOOSE('Executive Summary'!$I$2,Breakeven!G33,Breakeven!H33,Breakeven!I33,Breakeven!T33))</f>
        <v>46409.521018957719</v>
      </c>
      <c r="I76" s="131">
        <f>IF($B$15&gt;W27,9999999,CHOOSE('Executive Summary'!$I$2,Breakeven!G33,Breakeven!H33,Breakeven!I33,Breakeven!T33))</f>
        <v>46409.521018957719</v>
      </c>
      <c r="J76" s="129">
        <f t="shared" si="2"/>
        <v>3.3333333333333335</v>
      </c>
      <c r="K76" s="129">
        <f t="shared" si="3"/>
        <v>3.3333333333333335</v>
      </c>
    </row>
    <row r="77" spans="1:11" x14ac:dyDescent="0.25">
      <c r="A77" t="str">
        <f t="shared" si="1"/>
        <v>UCM Automated</v>
      </c>
      <c r="B77" t="b">
        <f t="shared" si="4"/>
        <v>1</v>
      </c>
      <c r="C77" s="131">
        <f>IF($B$15&gt;W28,"",CHOOSE('Executive Summary'!$I$2,Breakeven!G34,Breakeven!H34,Breakeven!I34,Breakeven!T34))</f>
        <v>57005.715682195732</v>
      </c>
      <c r="D77" s="129">
        <f>IF($B$15&gt;W28,"",CHOOSE('Executive Summary'!$I$2,Breakeven!J34,Breakeven!K34,Breakeven!L34,Breakeven!U34))</f>
        <v>1.7542100612769331</v>
      </c>
      <c r="E77" s="129"/>
      <c r="F77" s="129"/>
      <c r="G77" s="129"/>
      <c r="H77" s="131">
        <f>IF($B$15&gt;W28,-9999999,CHOOSE('Executive Summary'!$I$2,Breakeven!G34,Breakeven!H34,Breakeven!I34,Breakeven!T34))</f>
        <v>57005.715682195732</v>
      </c>
      <c r="I77" s="131">
        <f>IF($B$15&gt;W28,9999999,CHOOSE('Executive Summary'!$I$2,Breakeven!G34,Breakeven!H34,Breakeven!I34,Breakeven!T34))</f>
        <v>57005.715682195732</v>
      </c>
      <c r="J77" s="129">
        <f t="shared" si="2"/>
        <v>5</v>
      </c>
      <c r="K77" s="129">
        <f t="shared" si="3"/>
        <v>5</v>
      </c>
    </row>
    <row r="78" spans="1:11" x14ac:dyDescent="0.25">
      <c r="A78" t="str">
        <f t="shared" si="1"/>
        <v>Deadweight</v>
      </c>
      <c r="B78" t="b">
        <f t="shared" si="4"/>
        <v>1</v>
      </c>
      <c r="C78" s="131">
        <f>IF($B$15&gt;W29,"",CHOOSE('Executive Summary'!$I$2,Breakeven!G35,Breakeven!H35,Breakeven!I35,Breakeven!T35))</f>
        <v>29722.469692614308</v>
      </c>
      <c r="D78" s="129">
        <f>IF($B$15&gt;W29,"",CHOOSE('Executive Summary'!$I$2,Breakeven!J35,Breakeven!K35,Breakeven!L35,Breakeven!U35))</f>
        <v>11.775602889653916</v>
      </c>
      <c r="E78" s="129"/>
      <c r="F78" s="129"/>
      <c r="G78" s="129"/>
      <c r="H78" s="131">
        <f>IF($B$15&gt;W29,-9999999,CHOOSE('Executive Summary'!$I$2,Breakeven!G35,Breakeven!H35,Breakeven!I35,Breakeven!T35))</f>
        <v>29722.469692614308</v>
      </c>
      <c r="I78" s="131">
        <f>IF($B$15&gt;W29,9999999,CHOOSE('Executive Summary'!$I$2,Breakeven!G35,Breakeven!H35,Breakeven!I35,Breakeven!T35))</f>
        <v>29722.469692614308</v>
      </c>
      <c r="J78" s="129">
        <f t="shared" si="2"/>
        <v>50</v>
      </c>
      <c r="K78" s="129">
        <f t="shared" si="3"/>
        <v>50</v>
      </c>
    </row>
    <row r="79" spans="1:11" x14ac:dyDescent="0.25">
      <c r="A79" t="str">
        <f t="shared" si="1"/>
        <v>Competitor 1</v>
      </c>
      <c r="B79" t="b">
        <f t="shared" si="4"/>
        <v>1</v>
      </c>
      <c r="C79" s="131">
        <f>IF($B$15&gt;W30,"",CHOOSE('Executive Summary'!$I$2,Breakeven!G36,Breakeven!H36,Breakeven!I36,Breakeven!T36))</f>
        <v>44955.900734687544</v>
      </c>
      <c r="D79" s="129">
        <f>IF($B$15&gt;W30,"",CHOOSE('Executive Summary'!$I$2,Breakeven!J36,Breakeven!K36,Breakeven!L36,Breakeven!U36))</f>
        <v>1.223421154980052</v>
      </c>
      <c r="E79" s="129"/>
      <c r="F79" s="129"/>
      <c r="G79" s="129"/>
      <c r="H79" s="131">
        <f>IF($B$15&gt;W30,-9999999,CHOOSE('Executive Summary'!$I$2,Breakeven!G36,Breakeven!H36,Breakeven!I36,Breakeven!T36))</f>
        <v>44955.900734687544</v>
      </c>
      <c r="I79" s="131">
        <f>IF($B$15&gt;W30,9999999,CHOOSE('Executive Summary'!$I$2,Breakeven!G36,Breakeven!H36,Breakeven!I36,Breakeven!T36))</f>
        <v>44955.900734687544</v>
      </c>
      <c r="J79" s="129">
        <f t="shared" si="2"/>
        <v>2</v>
      </c>
      <c r="K79" s="129">
        <f t="shared" si="3"/>
        <v>2</v>
      </c>
    </row>
    <row r="80" spans="1:11" x14ac:dyDescent="0.25">
      <c r="A80" t="str">
        <f t="shared" si="1"/>
        <v>Competitor 2</v>
      </c>
      <c r="B80" t="b">
        <f t="shared" si="4"/>
        <v>1</v>
      </c>
      <c r="C80" s="131">
        <f>IF($B$15&gt;W31,"",CHOOSE('Executive Summary'!$I$2,Breakeven!G37,Breakeven!H37,Breakeven!I37,Breakeven!T37))</f>
        <v>44367.970549092512</v>
      </c>
      <c r="D80" s="129">
        <f>IF($B$15&gt;W31,"",CHOOSE('Executive Summary'!$I$2,Breakeven!J37,Breakeven!K37,Breakeven!L37,Breakeven!U37))</f>
        <v>0.90155126558562293</v>
      </c>
      <c r="E80" s="129"/>
      <c r="F80" s="129"/>
      <c r="G80" s="129"/>
      <c r="H80" s="131">
        <f>IF($B$15&gt;W31,-9999999,CHOOSE('Executive Summary'!$I$2,Breakeven!G37,Breakeven!H37,Breakeven!I37,Breakeven!T37))</f>
        <v>44367.970549092512</v>
      </c>
      <c r="I80" s="131">
        <f>IF($B$15&gt;W31,9999999,CHOOSE('Executive Summary'!$I$2,Breakeven!G37,Breakeven!H37,Breakeven!I37,Breakeven!T37))</f>
        <v>44367.970549092512</v>
      </c>
      <c r="J80" s="129">
        <f t="shared" si="2"/>
        <v>1.6666666666666667</v>
      </c>
      <c r="K80" s="129">
        <f t="shared" si="3"/>
        <v>1.6666666666666667</v>
      </c>
    </row>
    <row r="81" spans="1:8" x14ac:dyDescent="0.25">
      <c r="A81" t="s">
        <v>219</v>
      </c>
      <c r="B81">
        <f>COUNTIF(B74:B80,TRUE())</f>
        <v>7</v>
      </c>
    </row>
    <row r="82" spans="1:8" x14ac:dyDescent="0.25">
      <c r="A82" t="s">
        <v>220</v>
      </c>
      <c r="B82">
        <f>COUNTIFS(B74:B80,TRUE(),C74:C80,"&gt;"&amp;0)</f>
        <v>7</v>
      </c>
    </row>
    <row r="83" spans="1:8" x14ac:dyDescent="0.25">
      <c r="A83" t="s">
        <v>221</v>
      </c>
      <c r="B83" s="131">
        <f>MAX(H74:H80)</f>
        <v>57005.715682195732</v>
      </c>
      <c r="C83" t="str">
        <f>INDEX(A74:A80,MATCH(B83,H74:H80,0))</f>
        <v>UCM Automated</v>
      </c>
      <c r="D83" s="129">
        <f>INDEX(D74:D80,MATCH(B83,H74:H80,0))</f>
        <v>1.7542100612769331</v>
      </c>
      <c r="E83" s="129"/>
      <c r="F83" s="129"/>
      <c r="G83" s="129"/>
    </row>
    <row r="84" spans="1:8" x14ac:dyDescent="0.25">
      <c r="A84" t="s">
        <v>222</v>
      </c>
      <c r="B84" s="131">
        <f>MIN(I74:I80)</f>
        <v>29722.469692614308</v>
      </c>
      <c r="C84" t="str">
        <f>INDEX(A74:A80,MATCH(B84,I74:I80,0))</f>
        <v>Deadweight</v>
      </c>
    </row>
    <row r="85" spans="1:8" x14ac:dyDescent="0.25">
      <c r="A85" t="s">
        <v>223</v>
      </c>
      <c r="B85">
        <f>MIN(J74:J80)</f>
        <v>1.6666666666666667</v>
      </c>
    </row>
    <row r="86" spans="1:8" x14ac:dyDescent="0.25">
      <c r="A86" t="s">
        <v>224</v>
      </c>
      <c r="B86">
        <f>MAX(K74:K80)</f>
        <v>50</v>
      </c>
    </row>
    <row r="88" spans="1:8" ht="15.75" thickBot="1" x14ac:dyDescent="0.3"/>
    <row r="89" spans="1:8" x14ac:dyDescent="0.25">
      <c r="A89" s="205" t="str">
        <f>"REQUIRED $/CAL TO HIT "&amp;B23&amp;"-YEAR PAYBACK"</f>
        <v>REQUIRED $/CAL TO HIT 3-YEAR PAYBACK</v>
      </c>
      <c r="B89" s="206"/>
      <c r="C89" s="206"/>
      <c r="D89" s="206"/>
      <c r="E89" s="206"/>
      <c r="F89" s="206"/>
      <c r="G89" s="206"/>
      <c r="H89" s="207"/>
    </row>
    <row r="90" spans="1:8" ht="23.25" x14ac:dyDescent="0.25">
      <c r="A90" s="208" t="s">
        <v>130</v>
      </c>
      <c r="B90" s="209" t="s">
        <v>681</v>
      </c>
      <c r="C90" s="209" t="s">
        <v>682</v>
      </c>
      <c r="D90" s="209" t="s">
        <v>683</v>
      </c>
      <c r="E90" s="209" t="s">
        <v>684</v>
      </c>
      <c r="F90" s="209" t="s">
        <v>685</v>
      </c>
      <c r="G90" s="209" t="s">
        <v>686</v>
      </c>
      <c r="H90" s="210" t="s">
        <v>687</v>
      </c>
    </row>
    <row r="91" spans="1:8" x14ac:dyDescent="0.25">
      <c r="A91" s="211" t="str">
        <f t="shared" ref="A91:A97" si="5">A25</f>
        <v>BCM</v>
      </c>
      <c r="B91" s="212">
        <f>Breakeven!B31</f>
        <v>25000</v>
      </c>
      <c r="C91" s="213">
        <f t="shared" ref="C91:C97" si="6">$B$22</f>
        <v>300</v>
      </c>
      <c r="D91" s="344">
        <f>IF($B$15&gt;$W25,"N/A",(Breakeven!C6+Breakeven!P31+Breakeven!B31/$B$23)/$B$10)</f>
        <v>208.46256361159783</v>
      </c>
      <c r="E91" s="344">
        <f>IF($B$15&gt;$W25,"N/A",(Breakeven!D6+Breakeven!P31+Breakeven!B31/$B$23)/$B$10)</f>
        <v>218.16379007197247</v>
      </c>
      <c r="F91" s="344">
        <f>IF($B$15&gt;$W25,"N/A",(Breakeven!E6+Breakeven!P31+Breakeven!B31/$B$23)/$B$10)</f>
        <v>252.40706378038095</v>
      </c>
      <c r="G91" s="345">
        <f>IF($B$15&gt;$W25,"N/A",IF($B$12="Yes",(Breakeven!S31+Breakeven!P31+Breakeven!B31/$B$23)/$B$10,"N/A"))</f>
        <v>206.75486519729156</v>
      </c>
      <c r="H91" s="214">
        <f t="shared" ref="H91:H97" si="7">W25</f>
        <v>10000</v>
      </c>
    </row>
    <row r="92" spans="1:8" x14ac:dyDescent="0.25">
      <c r="A92" s="215" t="str">
        <f t="shared" si="5"/>
        <v>PCM</v>
      </c>
      <c r="B92" s="216">
        <f>Breakeven!B32</f>
        <v>35000</v>
      </c>
      <c r="C92" s="217">
        <f t="shared" si="6"/>
        <v>300</v>
      </c>
      <c r="D92" s="346">
        <f>IF($B$15&gt;$W26,"N/A",(Breakeven!C7+Breakeven!P32+Breakeven!B32/$B$23)/$B$10)</f>
        <v>210.9060955309881</v>
      </c>
      <c r="E92" s="346">
        <f>IF($B$15&gt;$W26,"N/A",(Breakeven!D7+Breakeven!P32+Breakeven!B32/$B$23)/$B$10)</f>
        <v>212.55037411938912</v>
      </c>
      <c r="F92" s="346">
        <f>IF($B$15&gt;$W26,"N/A",(Breakeven!E7+Breakeven!P32+Breakeven!B32/$B$23)/$B$10)</f>
        <v>229.0638437675841</v>
      </c>
      <c r="G92" s="347">
        <f>IF($B$15&gt;$W26,"N/A",IF($B$12="Yes",(Breakeven!S32+Breakeven!P32+Breakeven!B32/$B$23)/$B$10,"N/A"))</f>
        <v>210.9060955309881</v>
      </c>
      <c r="H92" s="218">
        <f t="shared" si="7"/>
        <v>2000</v>
      </c>
    </row>
    <row r="93" spans="1:8" x14ac:dyDescent="0.25">
      <c r="A93" s="219" t="str">
        <f t="shared" si="5"/>
        <v>UCM Manual</v>
      </c>
      <c r="B93" s="220">
        <f>Breakeven!B33</f>
        <v>50000</v>
      </c>
      <c r="C93" s="221">
        <f t="shared" si="6"/>
        <v>300</v>
      </c>
      <c r="D93" s="346">
        <f>IF($B$15&gt;$W27,"N/A",(Breakeven!C8+Breakeven!P33+Breakeven!B33/$B$23)/$B$10)</f>
        <v>240.51429129541791</v>
      </c>
      <c r="E93" s="346">
        <f>IF($B$15&gt;$W27,"N/A",(Breakeven!D8+Breakeven!P33+Breakeven!B33/$B$23)/$B$10)</f>
        <v>241.62107674882412</v>
      </c>
      <c r="F93" s="346">
        <f>IF($B$15&gt;$W27,"N/A",(Breakeven!E8+Breakeven!P33+Breakeven!B33/$B$23)/$B$10)</f>
        <v>256.35185014179046</v>
      </c>
      <c r="G93" s="347">
        <f>IF($B$15&gt;$W27,"N/A",IF($B$12="Yes",(Breakeven!S33+Breakeven!P33+Breakeven!B33/$B$23)/$B$10,"N/A"))</f>
        <v>240.51429129541791</v>
      </c>
      <c r="H93" s="222">
        <f t="shared" si="7"/>
        <v>1000000</v>
      </c>
    </row>
    <row r="94" spans="1:8" x14ac:dyDescent="0.25">
      <c r="A94" s="215" t="str">
        <f t="shared" si="5"/>
        <v>UCM Automated</v>
      </c>
      <c r="B94" s="216">
        <f>Breakeven!B34</f>
        <v>100000</v>
      </c>
      <c r="C94" s="217">
        <f t="shared" si="6"/>
        <v>300</v>
      </c>
      <c r="D94" s="346">
        <f>IF($B$15&gt;$W28,"N/A",(Breakeven!C9+Breakeven!P34+Breakeven!B34/$B$23)/$B$10)</f>
        <v>253.2295166498082</v>
      </c>
      <c r="E94" s="346">
        <f>IF($B$15&gt;$W28,"N/A",(Breakeven!D9+Breakeven!P34+Breakeven!B34/$B$23)/$B$10)</f>
        <v>253.59891624512966</v>
      </c>
      <c r="F94" s="346">
        <f>IF($B$15&gt;$W28,"N/A",(Breakeven!E9+Breakeven!P34+Breakeven!B34/$B$23)/$B$10)</f>
        <v>265.49798901666077</v>
      </c>
      <c r="G94" s="347">
        <f>IF($B$15&gt;$W28,"N/A",IF($B$12="Yes",(Breakeven!S34+Breakeven!P34+Breakeven!B34/$B$23)/$B$10,"N/A"))</f>
        <v>252.65523530227523</v>
      </c>
      <c r="H94" s="218">
        <f t="shared" si="7"/>
        <v>1000000</v>
      </c>
    </row>
    <row r="95" spans="1:8" x14ac:dyDescent="0.25">
      <c r="A95" s="219" t="str">
        <f t="shared" si="5"/>
        <v>Deadweight</v>
      </c>
      <c r="B95" s="220">
        <f>Breakeven!B35</f>
        <v>350000</v>
      </c>
      <c r="C95" s="221">
        <f t="shared" si="6"/>
        <v>300</v>
      </c>
      <c r="D95" s="346">
        <f>IF($B$15&gt;$W29,"N/A",(Breakeven!C10+Breakeven!P35+Breakeven!B35/$B$23)/$B$10)</f>
        <v>473.88839394810469</v>
      </c>
      <c r="E95" s="346">
        <f>IF($B$15&gt;$W29,"N/A",(Breakeven!D10+Breakeven!P35+Breakeven!B35/$B$23)/$B$10)</f>
        <v>473.88839394810469</v>
      </c>
      <c r="F95" s="346">
        <f>IF($B$15&gt;$W29,"N/A",(Breakeven!E10+Breakeven!P35+Breakeven!B35/$B$23)/$B$10)</f>
        <v>474.39549557050191</v>
      </c>
      <c r="G95" s="347">
        <f>IF($B$15&gt;$W29,"N/A",IF($B$12="Yes",(Breakeven!S35+Breakeven!P35+Breakeven!B35/$B$23)/$B$10,"N/A"))</f>
        <v>473.88839394810469</v>
      </c>
      <c r="H95" s="222">
        <f t="shared" si="7"/>
        <v>1000000</v>
      </c>
    </row>
    <row r="96" spans="1:8" x14ac:dyDescent="0.25">
      <c r="A96" s="215" t="str">
        <f t="shared" si="5"/>
        <v>Competitor 1</v>
      </c>
      <c r="B96" s="223">
        <f>Breakeven!B36</f>
        <v>55000</v>
      </c>
      <c r="C96" s="224">
        <f t="shared" si="6"/>
        <v>300</v>
      </c>
      <c r="D96" s="347">
        <f>IF($B$15&gt;$W30,"N/A",(Breakeven!C11+Breakeven!P36+Breakeven!B36/$B$23)/$B$10)</f>
        <v>261.26396284872192</v>
      </c>
      <c r="E96" s="347">
        <f>IF($B$15&gt;$W30,"N/A",(Breakeven!D11+Breakeven!P36+Breakeven!B36/$B$23)/$B$10)</f>
        <v>303.68762006007927</v>
      </c>
      <c r="F96" s="347">
        <f>IF($B$15&gt;$W30,"N/A",(Breakeven!E11+Breakeven!P36+Breakeven!B36/$B$23)/$B$10)</f>
        <v>344.50000000000006</v>
      </c>
      <c r="G96" s="347">
        <f>IF($B$15&gt;$W30,"N/A",IF($B$12="Yes",(Breakeven!S36+Breakeven!P36+Breakeven!B36/$B$23)/$B$10,"N/A"))</f>
        <v>246.75486519729156</v>
      </c>
      <c r="H96" s="218">
        <f t="shared" si="7"/>
        <v>1000000</v>
      </c>
    </row>
    <row r="97" spans="1:8" ht="15.75" thickBot="1" x14ac:dyDescent="0.3">
      <c r="A97" s="225" t="str">
        <f t="shared" si="5"/>
        <v>Competitor 2</v>
      </c>
      <c r="B97" s="226">
        <f>Breakeven!B37</f>
        <v>40000</v>
      </c>
      <c r="C97" s="227">
        <f t="shared" si="6"/>
        <v>300</v>
      </c>
      <c r="D97" s="348">
        <f>IF($B$15&gt;$W31,"N/A",(Breakeven!C12+Breakeven!P37+Breakeven!B37/$B$23)/$B$10)</f>
        <v>258.26084746798944</v>
      </c>
      <c r="E97" s="348">
        <f>IF($B$15&gt;$W31,"N/A",(Breakeven!D12+Breakeven!P37+Breakeven!B37/$B$23)/$B$10)</f>
        <v>317.2596545262108</v>
      </c>
      <c r="F97" s="348">
        <f>IF($B$15&gt;$W31,"N/A",(Breakeven!E12+Breakeven!P37+Breakeven!B37/$B$23)/$B$10)</f>
        <v>334.50000000000006</v>
      </c>
      <c r="G97" s="348">
        <f>IF($B$15&gt;$W31,"N/A",IF($B$12="Yes",(Breakeven!S37+Breakeven!P37+Breakeven!B37/$B$23)/$B$10,"N/A"))</f>
        <v>237.93072556848159</v>
      </c>
      <c r="H97" s="228">
        <f t="shared" si="7"/>
        <v>1000000</v>
      </c>
    </row>
  </sheetData>
  <sheetProtection sheet="1" objects="1" scenarios="1" sort="0" autoFilter="0"/>
  <mergeCells count="1">
    <mergeCell ref="A5:C5"/>
  </mergeCells>
  <pageMargins left="0.5" right="0.5" top="0.75" bottom="0.75" header="0.5" footer="0.5"/>
  <pageSetup orientation="landscape" horizontalDpi="300" verticalDpi="300"/>
  <headerFooter>
    <oddHeader>&amp;C&amp;8 Morehouse Instrument Company — True Cost Calculator</oddHeader>
    <oddFooter>&amp;LConfidential&amp;R&amp;8 &amp;P of &amp;N</oddFooter>
  </headerFooter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6573B"/>
  </sheetPr>
  <dimension ref="A1:AG160"/>
  <sheetViews>
    <sheetView zoomScale="120" zoomScaleNormal="120" workbookViewId="0">
      <selection activeCell="C9" sqref="C9"/>
    </sheetView>
  </sheetViews>
  <sheetFormatPr defaultColWidth="8.7109375" defaultRowHeight="15" x14ac:dyDescent="0.25"/>
  <cols>
    <col min="1" max="1" width="27.42578125" customWidth="1"/>
    <col min="2" max="3" width="14" customWidth="1"/>
    <col min="4" max="4" width="13" customWidth="1"/>
    <col min="5" max="5" width="15.5703125" customWidth="1"/>
    <col min="6" max="6" width="13" customWidth="1"/>
    <col min="7" max="7" width="11" customWidth="1"/>
    <col min="8" max="8" width="10" customWidth="1"/>
    <col min="9" max="9" width="13" customWidth="1"/>
    <col min="10" max="10" width="11" customWidth="1"/>
    <col min="11" max="11" width="10" customWidth="1"/>
    <col min="12" max="14" width="11" customWidth="1"/>
    <col min="15" max="17" width="13" customWidth="1"/>
    <col min="18" max="18" width="12" customWidth="1"/>
    <col min="19" max="22" width="13" customWidth="1"/>
  </cols>
  <sheetData>
    <row r="1" spans="1:6" ht="59.25" customHeight="1" x14ac:dyDescent="0.3">
      <c r="A1" s="229" t="s">
        <v>225</v>
      </c>
    </row>
    <row r="2" spans="1:6" ht="15" customHeight="1" x14ac:dyDescent="0.25">
      <c r="A2" s="198" t="s">
        <v>226</v>
      </c>
    </row>
    <row r="3" spans="1:6" ht="15" customHeight="1" x14ac:dyDescent="0.25"/>
    <row r="4" spans="1:6" ht="15" customHeight="1" x14ac:dyDescent="0.25">
      <c r="A4" s="175" t="s">
        <v>227</v>
      </c>
      <c r="E4" s="230" t="s">
        <v>228</v>
      </c>
    </row>
    <row r="5" spans="1:6" ht="15" customHeight="1" x14ac:dyDescent="0.25">
      <c r="A5" t="s">
        <v>229</v>
      </c>
      <c r="B5" s="425">
        <f>Dashboard!B15</f>
        <v>2000</v>
      </c>
      <c r="E5" t="s">
        <v>230</v>
      </c>
      <c r="F5" s="231">
        <f>B7*B5</f>
        <v>2</v>
      </c>
    </row>
    <row r="6" spans="1:6" ht="15" customHeight="1" x14ac:dyDescent="0.25">
      <c r="A6" t="s">
        <v>231</v>
      </c>
      <c r="B6" s="425">
        <v>500</v>
      </c>
      <c r="E6" t="s">
        <v>232</v>
      </c>
      <c r="F6" s="232">
        <f>B8*B6</f>
        <v>0.5</v>
      </c>
    </row>
    <row r="7" spans="1:6" ht="15" customHeight="1" x14ac:dyDescent="0.25">
      <c r="A7" t="s">
        <v>233</v>
      </c>
      <c r="B7" s="426">
        <f>Dashboard!B14</f>
        <v>1E-3</v>
      </c>
      <c r="E7" t="s">
        <v>234</v>
      </c>
      <c r="F7" s="233">
        <f>F5/NORMSINV((1+B9)/2)</f>
        <v>1.2514132053505038</v>
      </c>
    </row>
    <row r="8" spans="1:6" ht="15" customHeight="1" x14ac:dyDescent="0.25">
      <c r="A8" t="s">
        <v>235</v>
      </c>
      <c r="B8" s="427">
        <v>1E-3</v>
      </c>
      <c r="E8" t="s">
        <v>236</v>
      </c>
      <c r="F8" s="234">
        <f>F6/NORMSINV((1+B9)/2)</f>
        <v>0.31285330133762596</v>
      </c>
    </row>
    <row r="9" spans="1:6" ht="15" customHeight="1" x14ac:dyDescent="0.25">
      <c r="A9" t="s">
        <v>39</v>
      </c>
      <c r="B9" s="235">
        <f>Dashboard!B11</f>
        <v>0.89</v>
      </c>
    </row>
    <row r="10" spans="1:6" ht="15" customHeight="1" x14ac:dyDescent="0.25">
      <c r="A10" t="s">
        <v>36</v>
      </c>
      <c r="B10" s="236">
        <f>Dashboard!B10</f>
        <v>500</v>
      </c>
    </row>
    <row r="11" spans="1:6" ht="15" customHeight="1" x14ac:dyDescent="0.25">
      <c r="A11" t="s">
        <v>151</v>
      </c>
      <c r="B11" s="237">
        <f>Dashboard!B9</f>
        <v>116.66666666666667</v>
      </c>
    </row>
    <row r="12" spans="1:6" ht="15" customHeight="1" x14ac:dyDescent="0.25">
      <c r="A12" t="s">
        <v>50</v>
      </c>
      <c r="B12" s="425">
        <f>Dashboard!B19</f>
        <v>30</v>
      </c>
    </row>
    <row r="13" spans="1:6" ht="15" customHeight="1" x14ac:dyDescent="0.25">
      <c r="A13" s="148" t="s">
        <v>64</v>
      </c>
      <c r="B13" s="339">
        <v>4</v>
      </c>
      <c r="C13" s="432" t="str">
        <f>"Forward sizing: pick the TUR each reference cell must hold across the range. Required CMC = Tolerance ("&amp;TEXT(Dashboard!B14*100,"0.000")&amp;" %) ÷ Target TUR. Lower TUR = fewer cells but more rework risk."</f>
        <v>Forward sizing: pick the TUR each reference cell must hold across the range. Required CMC = Tolerance (0.100 %) ÷ Target TUR. Lower TUR = fewer cells but more rework risk.</v>
      </c>
      <c r="D13" s="432"/>
      <c r="E13" s="432"/>
      <c r="F13" s="432"/>
    </row>
    <row r="14" spans="1:6" ht="15" customHeight="1" x14ac:dyDescent="0.3">
      <c r="A14" s="239" t="s">
        <v>237</v>
      </c>
      <c r="B14" s="240"/>
      <c r="C14" s="432"/>
      <c r="D14" s="432"/>
      <c r="E14" s="432"/>
      <c r="F14" s="432"/>
    </row>
    <row r="15" spans="1:6" ht="15" customHeight="1" x14ac:dyDescent="0.25">
      <c r="B15" s="242"/>
      <c r="C15" s="242"/>
    </row>
    <row r="16" spans="1:6" ht="15" customHeight="1" x14ac:dyDescent="0.25">
      <c r="A16" s="243" t="s">
        <v>238</v>
      </c>
      <c r="B16" s="242"/>
      <c r="C16" s="242"/>
    </row>
    <row r="17" spans="1:33" ht="15" customHeight="1" x14ac:dyDescent="0.25">
      <c r="A17" t="s">
        <v>239</v>
      </c>
      <c r="B17" s="339">
        <v>4</v>
      </c>
      <c r="C17" s="422" t="s">
        <v>240</v>
      </c>
      <c r="E17" s="158"/>
    </row>
    <row r="18" spans="1:33" ht="15" customHeight="1" x14ac:dyDescent="0.25">
      <c r="A18" t="s">
        <v>241</v>
      </c>
      <c r="B18" s="244">
        <f>IF(B17=0,0,$B$8/B17)</f>
        <v>2.5000000000000001E-4</v>
      </c>
      <c r="C18" s="423" t="s">
        <v>242</v>
      </c>
      <c r="E18" s="158"/>
    </row>
    <row r="19" spans="1:33" ht="15" customHeight="1" x14ac:dyDescent="0.25">
      <c r="A19" t="s">
        <v>243</v>
      </c>
      <c r="B19" s="245">
        <f>$F$6/B17</f>
        <v>0.125</v>
      </c>
      <c r="C19" s="245"/>
    </row>
    <row r="20" spans="1:33" ht="15" customHeight="1" x14ac:dyDescent="0.25">
      <c r="A20" t="s">
        <v>244</v>
      </c>
      <c r="B20" s="246">
        <f>IF(B18=0,0,$B$7/B18)</f>
        <v>4</v>
      </c>
      <c r="C20" s="246"/>
    </row>
    <row r="21" spans="1:33" ht="15" customHeight="1" x14ac:dyDescent="0.25">
      <c r="A21" s="157" t="s">
        <v>70</v>
      </c>
      <c r="B21" s="341">
        <v>2.5000000000000001E-4</v>
      </c>
      <c r="C21" s="424" t="s">
        <v>245</v>
      </c>
      <c r="E21" s="155"/>
    </row>
    <row r="22" spans="1:33" ht="15" customHeight="1" x14ac:dyDescent="0.25">
      <c r="A22" s="175" t="s">
        <v>246</v>
      </c>
    </row>
    <row r="23" spans="1:33" ht="42" customHeight="1" x14ac:dyDescent="0.25">
      <c r="A23" s="247" t="s">
        <v>130</v>
      </c>
      <c r="B23" s="247" t="s">
        <v>247</v>
      </c>
      <c r="C23" s="433" t="s">
        <v>142</v>
      </c>
      <c r="D23" s="247" t="s">
        <v>203</v>
      </c>
      <c r="E23" s="247" t="s">
        <v>204</v>
      </c>
      <c r="F23" s="247" t="s">
        <v>248</v>
      </c>
      <c r="G23" s="247" t="s">
        <v>249</v>
      </c>
      <c r="H23" s="247" t="s">
        <v>250</v>
      </c>
      <c r="I23" s="247" t="s">
        <v>251</v>
      </c>
      <c r="J23" s="247" t="s">
        <v>252</v>
      </c>
      <c r="K23" s="247" t="s">
        <v>253</v>
      </c>
      <c r="L23" s="247" t="s">
        <v>254</v>
      </c>
      <c r="M23" s="247" t="s">
        <v>255</v>
      </c>
      <c r="N23" s="247" t="s">
        <v>256</v>
      </c>
      <c r="O23" s="247" t="s">
        <v>162</v>
      </c>
      <c r="P23" s="247" t="s">
        <v>166</v>
      </c>
      <c r="Q23" s="247" t="s">
        <v>170</v>
      </c>
      <c r="R23" s="247" t="s">
        <v>207</v>
      </c>
      <c r="S23" s="247" t="s">
        <v>206</v>
      </c>
      <c r="T23" s="247" t="s">
        <v>257</v>
      </c>
      <c r="U23" s="247" t="s">
        <v>258</v>
      </c>
      <c r="V23" s="247" t="s">
        <v>259</v>
      </c>
      <c r="W23" s="248" t="s">
        <v>260</v>
      </c>
      <c r="X23" s="248" t="s">
        <v>261</v>
      </c>
      <c r="Y23" s="248" t="s">
        <v>262</v>
      </c>
      <c r="Z23" s="248" t="s">
        <v>263</v>
      </c>
      <c r="AA23" s="248" t="s">
        <v>264</v>
      </c>
      <c r="AB23" s="249" t="s">
        <v>265</v>
      </c>
      <c r="AC23" s="249" t="s">
        <v>266</v>
      </c>
      <c r="AD23" s="249" t="s">
        <v>267</v>
      </c>
      <c r="AE23" s="249" t="s">
        <v>268</v>
      </c>
      <c r="AF23" s="249" t="s">
        <v>269</v>
      </c>
      <c r="AG23" s="249" t="s">
        <v>270</v>
      </c>
    </row>
    <row r="24" spans="1:33" ht="15" customHeight="1" x14ac:dyDescent="0.25">
      <c r="A24" s="181" t="s">
        <v>178</v>
      </c>
      <c r="B24" s="250">
        <f>Dashboard!E25</f>
        <v>25000</v>
      </c>
      <c r="C24" s="251">
        <v>0.9</v>
      </c>
      <c r="D24" s="252">
        <f t="shared" ref="D24:E27" si="0">AF24</f>
        <v>1</v>
      </c>
      <c r="E24" s="183">
        <f t="shared" si="0"/>
        <v>0</v>
      </c>
      <c r="F24" s="182">
        <f>Dashboard!B25</f>
        <v>5.0000000000000001E-4</v>
      </c>
      <c r="G24" s="182">
        <f t="shared" ref="G24:G30" si="1">F24*$B$5</f>
        <v>1</v>
      </c>
      <c r="H24" s="183">
        <f t="shared" ref="H24:H30" si="2">IF(G24=0,999,$F$5/G24)</f>
        <v>2</v>
      </c>
      <c r="I24" s="253">
        <f>Dashboard!F25</f>
        <v>5.9999999999999995E-4</v>
      </c>
      <c r="J24" s="254">
        <f t="shared" ref="J24:J30" si="3">I24*$B$6</f>
        <v>0.3</v>
      </c>
      <c r="K24" s="183">
        <f t="shared" ref="K24:K30" si="4">IF(J24=0,999,$F$6/J24)</f>
        <v>1.6666666666666667</v>
      </c>
      <c r="L24" s="185">
        <f>MAX('Risk Calc'!Q274,'Risk Calc'!Q317)</f>
        <v>6.6821973813695812E-2</v>
      </c>
      <c r="M24" s="185">
        <f>MAX('Risk Calc'!J274,'Risk Calc'!J317)</f>
        <v>0.14997534347404973</v>
      </c>
      <c r="N24" s="185">
        <f>MAX('Risk Calc'!C274,'Risk Calc'!C317)</f>
        <v>0.44348911811755132</v>
      </c>
      <c r="O24" s="186">
        <f t="shared" ref="O24:Q30" si="5">L24*$B$10*$B$11</f>
        <v>3897.948472465589</v>
      </c>
      <c r="P24" s="186">
        <f t="shared" si="5"/>
        <v>8748.5617026529017</v>
      </c>
      <c r="Q24" s="186">
        <f t="shared" si="5"/>
        <v>25870.198556857162</v>
      </c>
      <c r="R24" s="186">
        <f>D24*Dashboard!$B$21</f>
        <v>2000</v>
      </c>
      <c r="S24" s="186">
        <f>IF(Dashboard!$B$18="Yes",E24*($B$12/60)*Dashboard!$B$7*$B$10,0)</f>
        <v>0</v>
      </c>
      <c r="T24" s="186">
        <f t="shared" ref="T24:T30" si="6">O24+R24+S24</f>
        <v>5897.9484724655886</v>
      </c>
      <c r="U24" s="186">
        <f t="shared" ref="U24:U30" si="7">P24+R24+S24</f>
        <v>10748.561702652902</v>
      </c>
      <c r="V24" s="186">
        <f t="shared" ref="V24:V30" si="8">Q24+R24+S24</f>
        <v>27870.198556857162</v>
      </c>
      <c r="W24" s="231">
        <f t="shared" ref="W24:W30" si="9">$B$21*$B$5</f>
        <v>0.5</v>
      </c>
      <c r="X24" s="129">
        <f t="shared" ref="X24:X30" si="10">IF(G24=0,999,W24/G24)</f>
        <v>0.5</v>
      </c>
      <c r="Y24" s="129">
        <f t="shared" ref="Y24:Y30" si="11">IF(J24=0,999,($B$21*$B$6)/J24)</f>
        <v>0.41666666666666669</v>
      </c>
      <c r="Z24" t="str">
        <f t="shared" ref="Z24:Z30" si="12">IF(Y24&lt;1,"N/A — TUR&lt;1",IF(Y24&lt;1.5,"Very High",IF(Y24&lt;3,"High","Low")))</f>
        <v>N/A — TUR&lt;1</v>
      </c>
      <c r="AA24" t="str">
        <f t="shared" ref="AA24:AA30" si="13">IF(Y24&lt;1,"Not Viable","See Calculator")</f>
        <v>Not Viable</v>
      </c>
      <c r="AB24" s="233">
        <f>(I24-F24)*$B$5*$B$6/($B$5-$B$6)</f>
        <v>6.6666666666666624E-2</v>
      </c>
      <c r="AC24" s="234">
        <f>F24-AB24/$B$5</f>
        <v>4.6666666666666672E-4</v>
      </c>
      <c r="AD24" s="255">
        <f>IF($B$13=0,0,Dashboard!$B$14/$B$13)</f>
        <v>2.5000000000000001E-4</v>
      </c>
      <c r="AE24" s="256">
        <f>IF(F24&gt;=AD24,$B$5,IF(AD24&lt;=AC24,$B$5,MIN($B$5,AB24/(AD24-AC24))))</f>
        <v>2000</v>
      </c>
      <c r="AF24">
        <f>IF(AE24&lt;=$B$6,1,IF(AE24/$B$5&gt;0.9,MAX(1,-INT(-LN($B$6/$B$5)/LN(0.2))),MAX(1,-INT(-LN($B$6/$B$5)/LN(AE24/$B$5)))))</f>
        <v>1</v>
      </c>
      <c r="AG24">
        <f>IF(Dashboard!$B$18="Yes",MAX(0,AF24-1),0)</f>
        <v>0</v>
      </c>
    </row>
    <row r="25" spans="1:33" ht="15" customHeight="1" x14ac:dyDescent="0.25">
      <c r="A25" s="3" t="s">
        <v>179</v>
      </c>
      <c r="B25" s="250">
        <f>Dashboard!E26</f>
        <v>35000</v>
      </c>
      <c r="C25" s="251">
        <f>Dashboard!G26</f>
        <v>0.9</v>
      </c>
      <c r="D25" s="257">
        <f t="shared" si="0"/>
        <v>1</v>
      </c>
      <c r="E25" s="192">
        <f t="shared" si="0"/>
        <v>0</v>
      </c>
      <c r="F25" s="191">
        <f>Dashboard!B26</f>
        <v>3.3E-4</v>
      </c>
      <c r="G25" s="191">
        <f t="shared" si="1"/>
        <v>0.66</v>
      </c>
      <c r="H25" s="192">
        <f t="shared" si="2"/>
        <v>3.0303030303030303</v>
      </c>
      <c r="I25" s="253">
        <f>Dashboard!F26</f>
        <v>2.9999999999999997E-4</v>
      </c>
      <c r="J25" s="258">
        <f t="shared" si="3"/>
        <v>0.15</v>
      </c>
      <c r="K25" s="192">
        <f t="shared" si="4"/>
        <v>3.3333333333333335</v>
      </c>
      <c r="L25" s="194">
        <f>MAX('Risk Calc'!R274,'Risk Calc'!R317)</f>
        <v>3.0623675979897791E-2</v>
      </c>
      <c r="M25" s="194">
        <f>MAX('Risk Calc'!K274,'Risk Calc'!K317)</f>
        <v>4.4717492451906704E-2</v>
      </c>
      <c r="N25" s="194">
        <f>MAX('Risk Calc'!D274,'Risk Calc'!D317)</f>
        <v>0.1862615180078635</v>
      </c>
      <c r="O25" s="125">
        <f t="shared" si="5"/>
        <v>1786.3810988273713</v>
      </c>
      <c r="P25" s="125">
        <f t="shared" si="5"/>
        <v>2608.5203930278913</v>
      </c>
      <c r="Q25" s="125">
        <f t="shared" si="5"/>
        <v>10865.255217125372</v>
      </c>
      <c r="R25" s="125">
        <f>D25*Dashboard!$B$21</f>
        <v>2000</v>
      </c>
      <c r="S25" s="125">
        <f>IF(Dashboard!$B$18="Yes",E25*($B$12/60)*Dashboard!$B$7*$B$10,0)</f>
        <v>0</v>
      </c>
      <c r="T25" s="125">
        <f t="shared" si="6"/>
        <v>3786.3810988273713</v>
      </c>
      <c r="U25" s="125">
        <f t="shared" si="7"/>
        <v>4608.5203930278913</v>
      </c>
      <c r="V25" s="125">
        <f t="shared" si="8"/>
        <v>12865.255217125372</v>
      </c>
      <c r="W25" s="231">
        <f t="shared" si="9"/>
        <v>0.5</v>
      </c>
      <c r="X25" s="129">
        <f t="shared" si="10"/>
        <v>0.75757575757575757</v>
      </c>
      <c r="Y25" s="129">
        <f t="shared" si="11"/>
        <v>0.83333333333333337</v>
      </c>
      <c r="Z25" t="str">
        <f t="shared" si="12"/>
        <v>N/A — TUR&lt;1</v>
      </c>
      <c r="AA25" t="str">
        <f t="shared" si="13"/>
        <v>Not Viable</v>
      </c>
      <c r="AB25" s="233">
        <f>(I25-F25)*$B$5*$B$6/($B$5-$B$6)</f>
        <v>-2.0000000000000018E-2</v>
      </c>
      <c r="AC25" s="234">
        <f>F25-AB25/$B$5</f>
        <v>3.4000000000000002E-4</v>
      </c>
      <c r="AD25" s="255">
        <f>IF($B$13=0,0,Dashboard!$B$14/$B$13)</f>
        <v>2.5000000000000001E-4</v>
      </c>
      <c r="AE25" s="256">
        <f>IF(F25&gt;=AD25,$B$5,IF(AD25&lt;=AC25,$B$5,MIN($B$5,AB25/(AD25-AC25))))</f>
        <v>2000</v>
      </c>
      <c r="AF25">
        <f>IF(AE25&lt;=$B$6,1,IF(AE25/$B$5&gt;0.9,MAX(1,-INT(-LN($B$6/$B$5)/LN(0.2))),MAX(1,-INT(-LN($B$6/$B$5)/LN(AE25/$B$5)))))</f>
        <v>1</v>
      </c>
      <c r="AG25">
        <f>IF(Dashboard!$B$18="Yes",MAX(0,AF25-1),0)</f>
        <v>0</v>
      </c>
    </row>
    <row r="26" spans="1:33" ht="15" customHeight="1" x14ac:dyDescent="0.25">
      <c r="A26" s="181" t="s">
        <v>180</v>
      </c>
      <c r="B26" s="259">
        <f>Dashboard!E27</f>
        <v>50000</v>
      </c>
      <c r="C26" s="260">
        <f>Dashboard!G27</f>
        <v>1</v>
      </c>
      <c r="D26" s="252">
        <f t="shared" si="0"/>
        <v>1</v>
      </c>
      <c r="E26" s="183">
        <f t="shared" si="0"/>
        <v>0</v>
      </c>
      <c r="F26" s="182">
        <f>Dashboard!B27</f>
        <v>2.9999999999999997E-4</v>
      </c>
      <c r="G26" s="182">
        <f t="shared" si="1"/>
        <v>0.6</v>
      </c>
      <c r="H26" s="183">
        <f t="shared" si="2"/>
        <v>3.3333333333333335</v>
      </c>
      <c r="I26" s="261">
        <f>Dashboard!F27</f>
        <v>2.9999999999999997E-4</v>
      </c>
      <c r="J26" s="254">
        <f t="shared" si="3"/>
        <v>0.15</v>
      </c>
      <c r="K26" s="183">
        <f t="shared" si="4"/>
        <v>3.3333333333333335</v>
      </c>
      <c r="L26" s="185">
        <f>MAX('Risk Calc'!S274,'Risk Calc'!S317)</f>
        <v>2.7265353960724825E-2</v>
      </c>
      <c r="M26" s="185">
        <f>MAX('Risk Calc'!L274,'Risk Calc'!L317)</f>
        <v>3.675208641849248E-2</v>
      </c>
      <c r="N26" s="185">
        <f>MAX('Risk Calc'!E274,'Risk Calc'!E317)</f>
        <v>0.16301585835820398</v>
      </c>
      <c r="O26" s="186">
        <f t="shared" si="5"/>
        <v>1590.4789810422815</v>
      </c>
      <c r="P26" s="186">
        <f t="shared" si="5"/>
        <v>2143.8717077453948</v>
      </c>
      <c r="Q26" s="186">
        <f t="shared" si="5"/>
        <v>9509.2584042285671</v>
      </c>
      <c r="R26" s="186">
        <f>D26*Dashboard!$B$21</f>
        <v>2000</v>
      </c>
      <c r="S26" s="186">
        <f>IF(Dashboard!$B$18="Yes",E26*($B$12/60)*Dashboard!$B$7*$B$10,0)</f>
        <v>0</v>
      </c>
      <c r="T26" s="186">
        <f t="shared" si="6"/>
        <v>3590.4789810422817</v>
      </c>
      <c r="U26" s="186">
        <f t="shared" si="7"/>
        <v>4143.8717077453948</v>
      </c>
      <c r="V26" s="186">
        <f t="shared" si="8"/>
        <v>11509.258404228567</v>
      </c>
      <c r="W26" s="231">
        <f t="shared" si="9"/>
        <v>0.5</v>
      </c>
      <c r="X26" s="129">
        <f t="shared" si="10"/>
        <v>0.83333333333333337</v>
      </c>
      <c r="Y26" s="129">
        <f t="shared" si="11"/>
        <v>0.83333333333333337</v>
      </c>
      <c r="Z26" t="str">
        <f t="shared" si="12"/>
        <v>N/A — TUR&lt;1</v>
      </c>
      <c r="AA26" t="str">
        <f t="shared" si="13"/>
        <v>Not Viable</v>
      </c>
      <c r="AB26" s="233">
        <f>(I26-F26)*$B$5*$B$6/($B$5-$B$6)</f>
        <v>0</v>
      </c>
      <c r="AC26" s="234">
        <f>F26-AB26/$B$5</f>
        <v>2.9999999999999997E-4</v>
      </c>
      <c r="AD26" s="255">
        <f>IF($B$13=0,0,Dashboard!$B$14/$B$13)</f>
        <v>2.5000000000000001E-4</v>
      </c>
      <c r="AE26" s="256">
        <f>IF(F26&gt;=AD26,$B$5,IF(AD26&lt;=AC26,$B$5,MIN($B$5,AB26/(AD26-AC26))))</f>
        <v>2000</v>
      </c>
      <c r="AF26">
        <f>IF(AE26&lt;=$B$6,1,IF(AE26/$B$5&gt;0.9,MAX(1,-INT(-LN($B$6/$B$5)/LN(0.2))),MAX(1,-INT(-LN($B$6/$B$5)/LN(AE26/$B$5)))))</f>
        <v>1</v>
      </c>
      <c r="AG26">
        <f>IF(Dashboard!$B$18="Yes",MAX(0,AF26-1),0)</f>
        <v>0</v>
      </c>
    </row>
    <row r="27" spans="1:33" ht="15" customHeight="1" x14ac:dyDescent="0.25">
      <c r="A27" s="3" t="s">
        <v>181</v>
      </c>
      <c r="B27" s="250">
        <f>Dashboard!E28</f>
        <v>100000</v>
      </c>
      <c r="C27" s="251">
        <f>Dashboard!G28</f>
        <v>0.9</v>
      </c>
      <c r="D27" s="257">
        <f t="shared" si="0"/>
        <v>1</v>
      </c>
      <c r="E27" s="192">
        <f t="shared" si="0"/>
        <v>0</v>
      </c>
      <c r="F27" s="191">
        <f>Dashboard!B28</f>
        <v>2.0000000000000001E-4</v>
      </c>
      <c r="G27" s="191">
        <f t="shared" si="1"/>
        <v>0.4</v>
      </c>
      <c r="H27" s="192">
        <f t="shared" si="2"/>
        <v>5</v>
      </c>
      <c r="I27" s="253">
        <f>Dashboard!F28</f>
        <v>2.5000000000000001E-4</v>
      </c>
      <c r="J27" s="258">
        <f t="shared" si="3"/>
        <v>0.125</v>
      </c>
      <c r="K27" s="192">
        <f t="shared" si="4"/>
        <v>4</v>
      </c>
      <c r="L27" s="194">
        <f>MAX('Risk Calc'!T274,'Risk Calc'!T317)</f>
        <v>2.1967285569784778E-2</v>
      </c>
      <c r="M27" s="194">
        <f>MAX('Risk Calc'!M274,'Risk Calc'!M317)</f>
        <v>2.5133567815397218E-2</v>
      </c>
      <c r="N27" s="194">
        <f>MAX('Risk Calc'!F274,'Risk Calc'!F317)</f>
        <v>0.12712562014280682</v>
      </c>
      <c r="O27" s="125">
        <f t="shared" si="5"/>
        <v>1281.4249915707787</v>
      </c>
      <c r="P27" s="125">
        <f t="shared" si="5"/>
        <v>1466.1247892315043</v>
      </c>
      <c r="Q27" s="125">
        <f t="shared" si="5"/>
        <v>7415.6611749970643</v>
      </c>
      <c r="R27" s="125">
        <f>D27*Dashboard!$B$21</f>
        <v>2000</v>
      </c>
      <c r="S27" s="125">
        <f>IF(Dashboard!$B$18="Yes",E27*($B$12/60)*Dashboard!$B$7*$B$10,0)</f>
        <v>0</v>
      </c>
      <c r="T27" s="125">
        <f t="shared" si="6"/>
        <v>3281.4249915707787</v>
      </c>
      <c r="U27" s="125">
        <f t="shared" si="7"/>
        <v>3466.1247892315041</v>
      </c>
      <c r="V27" s="125">
        <f t="shared" si="8"/>
        <v>9415.6611749970652</v>
      </c>
      <c r="W27" s="231">
        <f t="shared" si="9"/>
        <v>0.5</v>
      </c>
      <c r="X27" s="129">
        <f t="shared" si="10"/>
        <v>1.25</v>
      </c>
      <c r="Y27" s="129">
        <f t="shared" si="11"/>
        <v>1</v>
      </c>
      <c r="Z27" t="str">
        <f t="shared" si="12"/>
        <v>Very High</v>
      </c>
      <c r="AA27" t="str">
        <f t="shared" si="13"/>
        <v>See Calculator</v>
      </c>
      <c r="AB27" s="233">
        <f>(I27-F27)*$B$5*$B$6/($B$5-$B$6)</f>
        <v>3.3333333333333326E-2</v>
      </c>
      <c r="AC27" s="234">
        <f>F27-AB27/$B$5</f>
        <v>1.8333333333333334E-4</v>
      </c>
      <c r="AD27" s="255">
        <f>IF($B$13=0,0,Dashboard!$B$14/$B$13)</f>
        <v>2.5000000000000001E-4</v>
      </c>
      <c r="AE27" s="256">
        <f>IF(F27&gt;=AD27,$B$5,IF(AD27&lt;=AC27,$B$5,MIN($B$5,AB27/(AD27-AC27))))</f>
        <v>499.99999999999989</v>
      </c>
      <c r="AF27">
        <f>IF(AE27&lt;=$B$6,1,IF(AE27/$B$5&gt;0.9,MAX(1,-INT(-LN($B$6/$B$5)/LN(0.2))),MAX(1,-INT(-LN($B$6/$B$5)/LN(AE27/$B$5)))))</f>
        <v>1</v>
      </c>
      <c r="AG27">
        <f>IF(Dashboard!$B$18="Yes",MAX(0,AF27-1),0)</f>
        <v>0</v>
      </c>
    </row>
    <row r="28" spans="1:33" ht="15" customHeight="1" x14ac:dyDescent="0.25">
      <c r="A28" s="181" t="s">
        <v>182</v>
      </c>
      <c r="B28" s="259">
        <f>Dashboard!E29</f>
        <v>350000</v>
      </c>
      <c r="C28" s="260">
        <f>Dashboard!G29</f>
        <v>1.2</v>
      </c>
      <c r="D28" s="252">
        <v>0</v>
      </c>
      <c r="E28" s="183">
        <v>0</v>
      </c>
      <c r="F28" s="182">
        <f>Dashboard!B29</f>
        <v>2.0000000000000002E-5</v>
      </c>
      <c r="G28" s="182">
        <f t="shared" si="1"/>
        <v>0.04</v>
      </c>
      <c r="H28" s="183">
        <f t="shared" si="2"/>
        <v>50</v>
      </c>
      <c r="I28" s="261">
        <f>Dashboard!F29</f>
        <v>2.0000000000000002E-5</v>
      </c>
      <c r="J28" s="254">
        <f t="shared" si="3"/>
        <v>0.01</v>
      </c>
      <c r="K28" s="183">
        <f t="shared" si="4"/>
        <v>50</v>
      </c>
      <c r="L28" s="185">
        <f>MAX('Risk Calc'!U274,'Risk Calc'!U317)</f>
        <v>4.7576624123262246E-3</v>
      </c>
      <c r="M28" s="185">
        <f>MAX('Risk Calc'!N274,'Risk Calc'!N317)</f>
        <v>4.7576624123262246E-3</v>
      </c>
      <c r="N28" s="185">
        <f>MAX('Risk Calc'!G274,'Risk Calc'!G317)</f>
        <v>9.1042477471591221E-3</v>
      </c>
      <c r="O28" s="186">
        <f t="shared" si="5"/>
        <v>277.53030738569646</v>
      </c>
      <c r="P28" s="186">
        <f t="shared" si="5"/>
        <v>277.53030738569646</v>
      </c>
      <c r="Q28" s="186">
        <f t="shared" si="5"/>
        <v>531.08111858428208</v>
      </c>
      <c r="R28" s="186">
        <f>D28*Dashboard!$B$21</f>
        <v>0</v>
      </c>
      <c r="S28" s="186">
        <f>IF(Dashboard!$B$18="Yes",E28*($B$12/60)*Dashboard!$B$7*$B$10,0)</f>
        <v>0</v>
      </c>
      <c r="T28" s="186">
        <f t="shared" si="6"/>
        <v>277.53030738569646</v>
      </c>
      <c r="U28" s="186">
        <f t="shared" si="7"/>
        <v>277.53030738569646</v>
      </c>
      <c r="V28" s="186">
        <f t="shared" si="8"/>
        <v>531.08111858428208</v>
      </c>
      <c r="W28" s="231">
        <f t="shared" si="9"/>
        <v>0.5</v>
      </c>
      <c r="X28" s="129">
        <f t="shared" si="10"/>
        <v>12.5</v>
      </c>
      <c r="Y28" s="129">
        <f t="shared" si="11"/>
        <v>12.5</v>
      </c>
      <c r="Z28" t="str">
        <f t="shared" si="12"/>
        <v>Low</v>
      </c>
      <c r="AA28" t="str">
        <f t="shared" si="13"/>
        <v>See Calculator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</row>
    <row r="29" spans="1:33" ht="15" customHeight="1" x14ac:dyDescent="0.25">
      <c r="A29" s="3" t="s">
        <v>271</v>
      </c>
      <c r="B29" s="250">
        <f>Dashboard!E30</f>
        <v>55000</v>
      </c>
      <c r="C29" s="251">
        <f>Dashboard!G30</f>
        <v>1</v>
      </c>
      <c r="D29" s="257">
        <f>AF29</f>
        <v>1</v>
      </c>
      <c r="E29" s="192">
        <f>AG29</f>
        <v>0</v>
      </c>
      <c r="F29" s="191">
        <f>Dashboard!B30</f>
        <v>5.0000000000000001E-4</v>
      </c>
      <c r="G29" s="191">
        <f t="shared" si="1"/>
        <v>1</v>
      </c>
      <c r="H29" s="192">
        <f t="shared" si="2"/>
        <v>2</v>
      </c>
      <c r="I29" s="253">
        <f>Dashboard!F30</f>
        <v>1.1999999999999999E-3</v>
      </c>
      <c r="J29" s="258">
        <f t="shared" si="3"/>
        <v>0.6</v>
      </c>
      <c r="K29" s="192">
        <f t="shared" si="4"/>
        <v>0.83333333333333337</v>
      </c>
      <c r="L29" s="194">
        <f>MIN($B$9,MAX('Risk Calc'!V274,'Risk Calc'!V317))</f>
        <v>0.17654825298904497</v>
      </c>
      <c r="M29" s="194">
        <f>MIN($B$9,MAX('Risk Calc'!O274,'Risk Calc'!O317))</f>
        <v>0.54017960051496483</v>
      </c>
      <c r="N29" s="194">
        <f>MIN($B$9,MAX('Risk Calc'!H274,'Risk Calc'!H317))</f>
        <v>0.89</v>
      </c>
      <c r="O29" s="125">
        <f t="shared" si="5"/>
        <v>10298.648091027624</v>
      </c>
      <c r="P29" s="125">
        <f t="shared" si="5"/>
        <v>31510.476696706282</v>
      </c>
      <c r="Q29" s="125">
        <f t="shared" si="5"/>
        <v>51916.666666666672</v>
      </c>
      <c r="R29" s="125">
        <f>D29*Dashboard!$B$21</f>
        <v>2000</v>
      </c>
      <c r="S29" s="125">
        <f>IF(Dashboard!$B$18="Yes",E29*($B$12/60)*Dashboard!$B$7*$B$10,0)</f>
        <v>0</v>
      </c>
      <c r="T29" s="125">
        <f t="shared" si="6"/>
        <v>12298.648091027624</v>
      </c>
      <c r="U29" s="125">
        <f t="shared" si="7"/>
        <v>33510.476696706282</v>
      </c>
      <c r="V29" s="125">
        <f t="shared" si="8"/>
        <v>53916.666666666672</v>
      </c>
      <c r="W29" s="231">
        <f t="shared" si="9"/>
        <v>0.5</v>
      </c>
      <c r="X29" s="129">
        <f t="shared" si="10"/>
        <v>0.5</v>
      </c>
      <c r="Y29" s="129">
        <f t="shared" si="11"/>
        <v>0.20833333333333334</v>
      </c>
      <c r="Z29" t="str">
        <f t="shared" si="12"/>
        <v>N/A — TUR&lt;1</v>
      </c>
      <c r="AA29" t="str">
        <f t="shared" si="13"/>
        <v>Not Viable</v>
      </c>
      <c r="AB29" s="233">
        <f>(I29-F29)*$B$5*$B$6/($B$5-$B$6)</f>
        <v>0.46666666666666662</v>
      </c>
      <c r="AC29" s="234">
        <f>F29-AB29/$B$5</f>
        <v>2.6666666666666668E-4</v>
      </c>
      <c r="AD29" s="255">
        <f>IF($B$13=0,0,Dashboard!$B$14/$B$13)</f>
        <v>2.5000000000000001E-4</v>
      </c>
      <c r="AE29" s="256">
        <f>IF(F29&gt;=AD29,$B$5,IF(AD29&lt;=AC29,$B$5,MIN($B$5,AB29/(AD29-AC29))))</f>
        <v>2000</v>
      </c>
      <c r="AF29">
        <f>IF(AE29&lt;=$B$6,1,IF(AE29/$B$5&gt;0.9,MAX(1,-INT(-LN($B$6/$B$5)/LN(0.2))),MAX(1,-INT(-LN($B$6/$B$5)/LN(AE29/$B$5)))))</f>
        <v>1</v>
      </c>
      <c r="AG29">
        <f>IF(Dashboard!$B$18="Yes",MAX(0,AF29-1),0)</f>
        <v>0</v>
      </c>
    </row>
    <row r="30" spans="1:33" ht="15" customHeight="1" x14ac:dyDescent="0.25">
      <c r="A30" s="181" t="s">
        <v>184</v>
      </c>
      <c r="B30" s="259">
        <f>Dashboard!E31</f>
        <v>40000</v>
      </c>
      <c r="C30" s="262">
        <f>Dashboard!G31</f>
        <v>1</v>
      </c>
      <c r="D30" s="252">
        <f>AF30</f>
        <v>1</v>
      </c>
      <c r="E30" s="183">
        <f>AG30</f>
        <v>0</v>
      </c>
      <c r="F30" s="182">
        <f>Dashboard!B31</f>
        <v>5.9999999999999995E-4</v>
      </c>
      <c r="G30" s="182">
        <f t="shared" si="1"/>
        <v>1.2</v>
      </c>
      <c r="H30" s="183">
        <f t="shared" si="2"/>
        <v>1.6666666666666667</v>
      </c>
      <c r="I30" s="261">
        <f>Dashboard!F31</f>
        <v>1.5E-3</v>
      </c>
      <c r="J30" s="254">
        <f t="shared" si="3"/>
        <v>0.75</v>
      </c>
      <c r="K30" s="183">
        <f t="shared" si="4"/>
        <v>0.66666666666666663</v>
      </c>
      <c r="L30" s="185">
        <f>MIN($B$9,MAX('Risk Calc'!W274,'Risk Calc'!W317))</f>
        <v>0.23652154972562367</v>
      </c>
      <c r="M30" s="185">
        <f>MIN($B$9,MAX('Risk Calc'!P274,'Risk Calc'!P317))</f>
        <v>0.7422256102246636</v>
      </c>
      <c r="N30" s="185">
        <f>MIN($B$9,MAX('Risk Calc'!I274,'Risk Calc'!I317))</f>
        <v>0.89</v>
      </c>
      <c r="O30" s="186">
        <f t="shared" si="5"/>
        <v>13797.09040066138</v>
      </c>
      <c r="P30" s="186">
        <f t="shared" si="5"/>
        <v>43296.493929772041</v>
      </c>
      <c r="Q30" s="186">
        <f t="shared" si="5"/>
        <v>51916.666666666672</v>
      </c>
      <c r="R30" s="186">
        <f>D30*Dashboard!$B$21</f>
        <v>2000</v>
      </c>
      <c r="S30" s="186">
        <f>IF(Dashboard!$B$18="Yes",E30*($B$12/60)*Dashboard!$B$7*$B$10,0)</f>
        <v>0</v>
      </c>
      <c r="T30" s="186">
        <f t="shared" si="6"/>
        <v>15797.09040066138</v>
      </c>
      <c r="U30" s="186">
        <f t="shared" si="7"/>
        <v>45296.493929772041</v>
      </c>
      <c r="V30" s="186">
        <f t="shared" si="8"/>
        <v>53916.666666666672</v>
      </c>
      <c r="W30" s="231">
        <f t="shared" si="9"/>
        <v>0.5</v>
      </c>
      <c r="X30" s="129">
        <f t="shared" si="10"/>
        <v>0.41666666666666669</v>
      </c>
      <c r="Y30" s="129">
        <f t="shared" si="11"/>
        <v>0.16666666666666666</v>
      </c>
      <c r="Z30" t="str">
        <f t="shared" si="12"/>
        <v>N/A — TUR&lt;1</v>
      </c>
      <c r="AA30" t="str">
        <f t="shared" si="13"/>
        <v>Not Viable</v>
      </c>
      <c r="AB30" s="233">
        <f>(I30-F30)*$B$5*$B$6/($B$5-$B$6)</f>
        <v>0.60000000000000009</v>
      </c>
      <c r="AC30" s="234">
        <f>F30-AB30/$B$5</f>
        <v>2.9999999999999992E-4</v>
      </c>
      <c r="AD30" s="255">
        <f>IF($B$13=0,0,Dashboard!$B$14/$B$13)</f>
        <v>2.5000000000000001E-4</v>
      </c>
      <c r="AE30" s="256">
        <f>IF(F30&gt;=AD30,$B$5,IF(AD30&lt;=AC30,$B$5,MIN($B$5,AB30/(AD30-AC30))))</f>
        <v>2000</v>
      </c>
      <c r="AF30">
        <f>IF(AE30&lt;=$B$6,1,IF(AE30/$B$5&gt;0.9,MAX(1,-INT(-LN($B$6/$B$5)/LN(0.2))),MAX(1,-INT(-LN($B$6/$B$5)/LN(AE30/$B$5)))))</f>
        <v>1</v>
      </c>
      <c r="AG30">
        <f>IF(Dashboard!$B$18="Yes",MAX(0,AF30-1),0)</f>
        <v>0</v>
      </c>
    </row>
    <row r="31" spans="1:33" ht="15" customHeight="1" x14ac:dyDescent="0.25">
      <c r="A31" s="238" t="str">
        <f>"Note: CMC@High (col F) and Tolerance@High ("&amp;TEXT(B7*100,"0.000")&amp;"%) are wired to Dashboard. CMC@Low (col I), Hrs/Cal (col C), and Price (col B) are independent — set per machine."</f>
        <v>Note: CMC@High (col F) and Tolerance@High (0.100%) are wired to Dashboard. CMC@Low (col I), Hrs/Cal (col C), and Price (col B) are independent — set per machine.</v>
      </c>
    </row>
    <row r="32" spans="1:33" ht="15" customHeight="1" x14ac:dyDescent="0.25">
      <c r="A32" s="263" t="s">
        <v>188</v>
      </c>
    </row>
    <row r="33" spans="1:7" ht="15" customHeight="1" x14ac:dyDescent="0.25">
      <c r="A33" t="s">
        <v>130</v>
      </c>
      <c r="B33" t="s">
        <v>272</v>
      </c>
      <c r="D33" t="s">
        <v>190</v>
      </c>
      <c r="E33" t="s">
        <v>84</v>
      </c>
      <c r="F33" s="264" t="s">
        <v>191</v>
      </c>
    </row>
    <row r="34" spans="1:7" ht="15" customHeight="1" x14ac:dyDescent="0.25">
      <c r="A34" t="str">
        <f>IF(Dashboard!$B$15&gt;Dashboard!$W$25,A24&amp;" (N/A)",A24)</f>
        <v>BCM</v>
      </c>
      <c r="B34" s="131">
        <f t="shared" ref="B34:B40" si="14">T24</f>
        <v>5897.9484724655886</v>
      </c>
      <c r="C34" s="131"/>
      <c r="D34" s="131">
        <f t="shared" ref="D34:E40" si="15">U24</f>
        <v>10748.561702652902</v>
      </c>
      <c r="E34" s="131">
        <f t="shared" si="15"/>
        <v>27870.198556857162</v>
      </c>
      <c r="F34" s="131">
        <f>IF(Dashboard!$B$12="Yes",IF(Dashboard!$B$15&gt;Dashboard!$W$25,0,Dashboard!Z25+R24+S24),0)</f>
        <v>5044.0992653124486</v>
      </c>
    </row>
    <row r="35" spans="1:7" ht="15" customHeight="1" x14ac:dyDescent="0.25">
      <c r="A35" t="str">
        <f>IF(Dashboard!$B$15&gt;Dashboard!$W$26,A25&amp;" (N/A)",A25)</f>
        <v>PCM</v>
      </c>
      <c r="B35" s="131">
        <f t="shared" si="14"/>
        <v>3786.3810988273713</v>
      </c>
      <c r="C35" s="131"/>
      <c r="D35" s="131">
        <f t="shared" si="15"/>
        <v>4608.5203930278913</v>
      </c>
      <c r="E35" s="131">
        <f t="shared" si="15"/>
        <v>12865.255217125372</v>
      </c>
      <c r="F35" s="131">
        <f>IF(Dashboard!$B$12="Yes",IF(Dashboard!$B$15&gt;Dashboard!$W$26,0,Dashboard!Z26+R25+S25),0)</f>
        <v>3786.3810988273713</v>
      </c>
    </row>
    <row r="36" spans="1:7" ht="15" customHeight="1" x14ac:dyDescent="0.25">
      <c r="A36" t="str">
        <f>IF(Dashboard!$B$15&gt;Dashboard!$W$27,A26&amp;" (N/A)",A26)</f>
        <v>UCM Manual</v>
      </c>
      <c r="B36" s="131">
        <f t="shared" si="14"/>
        <v>3590.4789810422817</v>
      </c>
      <c r="C36" s="131"/>
      <c r="D36" s="131">
        <f t="shared" si="15"/>
        <v>4143.8717077453948</v>
      </c>
      <c r="E36" s="131">
        <f t="shared" si="15"/>
        <v>11509.258404228567</v>
      </c>
      <c r="F36" s="131">
        <f>IF(Dashboard!$B$12="Yes",IF(Dashboard!$B$15&gt;Dashboard!$W$27,0,Dashboard!Z27+R26+S26),0)</f>
        <v>3590.4789810422817</v>
      </c>
    </row>
    <row r="37" spans="1:7" ht="15" customHeight="1" x14ac:dyDescent="0.25">
      <c r="A37" t="str">
        <f>IF(Dashboard!$B$15&gt;Dashboard!$W$28,A27&amp;" (N/A)",A27)</f>
        <v>UCM Automated</v>
      </c>
      <c r="B37" s="131">
        <f t="shared" si="14"/>
        <v>3281.4249915707787</v>
      </c>
      <c r="C37" s="131"/>
      <c r="D37" s="131">
        <f t="shared" si="15"/>
        <v>3466.1247892315041</v>
      </c>
      <c r="E37" s="131">
        <f t="shared" si="15"/>
        <v>9415.6611749970652</v>
      </c>
      <c r="F37" s="131">
        <f>IF(Dashboard!$B$12="Yes",IF(Dashboard!$B$15&gt;Dashboard!$W$28,0,Dashboard!Z28+R27+S27),0)</f>
        <v>2994.2843178042604</v>
      </c>
    </row>
    <row r="38" spans="1:7" ht="15" customHeight="1" x14ac:dyDescent="0.25">
      <c r="A38" t="str">
        <f>IF(Dashboard!$B$15&gt;Dashboard!$W$29,A28&amp;" (N/A)",A28)</f>
        <v>Deadweight</v>
      </c>
      <c r="B38" s="131">
        <f t="shared" si="14"/>
        <v>277.53030738569646</v>
      </c>
      <c r="C38" s="131"/>
      <c r="D38" s="131">
        <f t="shared" si="15"/>
        <v>277.53030738569646</v>
      </c>
      <c r="E38" s="131">
        <f t="shared" si="15"/>
        <v>531.08111858428208</v>
      </c>
      <c r="F38" s="131">
        <f>IF(Dashboard!$B$12="Yes",IF(Dashboard!$B$15&gt;Dashboard!$W$29,0,Dashboard!Z29+R28+S28),0)</f>
        <v>277.53030738569646</v>
      </c>
    </row>
    <row r="39" spans="1:7" ht="15" customHeight="1" x14ac:dyDescent="0.25">
      <c r="A39" t="str">
        <f>IF(Dashboard!$B$15&gt;Dashboard!$W$30,A29&amp;" (N/A)",A29)</f>
        <v>Competitor</v>
      </c>
      <c r="B39" s="131">
        <f t="shared" si="14"/>
        <v>12298.648091027624</v>
      </c>
      <c r="C39" s="131"/>
      <c r="D39" s="131">
        <f t="shared" si="15"/>
        <v>33510.476696706282</v>
      </c>
      <c r="E39" s="131">
        <f t="shared" si="15"/>
        <v>53916.666666666672</v>
      </c>
      <c r="F39" s="131">
        <f>IF(Dashboard!$B$12="Yes",IF(Dashboard!$B$15&gt;Dashboard!$W$30,0,Dashboard!Z30+R29+S29),0)</f>
        <v>5044.0992653124486</v>
      </c>
    </row>
    <row r="40" spans="1:7" ht="15" customHeight="1" x14ac:dyDescent="0.25">
      <c r="A40" t="str">
        <f>IF(Dashboard!$B$15&gt;Dashboard!$W$31,A30&amp;" (N/A)",A30)</f>
        <v>Competitor 2</v>
      </c>
      <c r="B40" s="131">
        <f t="shared" si="14"/>
        <v>15797.09040066138</v>
      </c>
      <c r="C40" s="131"/>
      <c r="D40" s="131">
        <f t="shared" si="15"/>
        <v>45296.493929772041</v>
      </c>
      <c r="E40" s="131">
        <f t="shared" si="15"/>
        <v>53916.666666666672</v>
      </c>
      <c r="F40" s="131">
        <f>IF(Dashboard!$B$12="Yes",IF(Dashboard!$B$15&gt;Dashboard!$W$31,0,Dashboard!Z31+R30+S30),0)</f>
        <v>5632.0294509074747</v>
      </c>
    </row>
    <row r="41" spans="1:7" ht="15" customHeight="1" x14ac:dyDescent="0.25">
      <c r="A41" s="156" t="s">
        <v>273</v>
      </c>
    </row>
    <row r="42" spans="1:7" ht="15" customHeight="1" x14ac:dyDescent="0.25">
      <c r="A42" s="238" t="str">
        <f>"PFR computed at both force points ("&amp;TEXT($B$5,"#,##0")&amp;" and "&amp;TEXT($B$6,"#,##0")&amp;" lbf). Rework uses worst case (highest PFR). Blue cells are editable."</f>
        <v>PFR computed at both force points (2,000 and 500 lbf). Rework uses worst case (highest PFR). Blue cells are editable.</v>
      </c>
    </row>
    <row r="43" spans="1:7" ht="15" customHeight="1" x14ac:dyDescent="0.25">
      <c r="A43" s="238" t="str">
        <f>"Swap cost = Swaps × ("&amp;TEXT($B$12,"0")&amp;" min / 60) × $"&amp;TEXT(Dashboard!B7,"#,##0")&amp;"/hr × "&amp;TEXT($B$10,"#,##0")&amp;" cals/yr. Reset swaps to 0 if not switching standards."</f>
        <v>Swap cost = Swaps × (30 min / 60) × $200/hr × 500 cals/yr. Reset swaps to 0 if not switching standards.</v>
      </c>
    </row>
    <row r="44" spans="1:7" ht="15" customHeight="1" x14ac:dyDescent="0.25">
      <c r="A44" s="175" t="s">
        <v>274</v>
      </c>
      <c r="B44" s="265"/>
      <c r="C44" s="265"/>
      <c r="D44" s="265"/>
      <c r="E44" s="265"/>
      <c r="F44" s="265"/>
      <c r="G44" s="265"/>
    </row>
    <row r="45" spans="1:7" ht="15" customHeight="1" x14ac:dyDescent="0.25">
      <c r="A45" s="265"/>
      <c r="B45" s="265"/>
      <c r="C45" s="265"/>
      <c r="D45" s="265"/>
      <c r="E45" s="265"/>
      <c r="F45" s="265"/>
      <c r="G45" s="265"/>
    </row>
    <row r="46" spans="1:7" ht="15" customHeight="1" x14ac:dyDescent="0.25">
      <c r="A46" s="265"/>
      <c r="B46" s="265"/>
      <c r="C46" s="265"/>
      <c r="D46" s="265"/>
      <c r="E46" s="265"/>
      <c r="F46" s="265"/>
      <c r="G46" s="265"/>
    </row>
    <row r="47" spans="1:7" ht="15" customHeight="1" x14ac:dyDescent="0.25">
      <c r="A47" s="265"/>
      <c r="B47" s="266"/>
      <c r="C47" s="265"/>
      <c r="D47" s="265"/>
      <c r="E47" s="265"/>
      <c r="F47" s="265"/>
      <c r="G47" s="265"/>
    </row>
    <row r="48" spans="1:7" ht="15" customHeight="1" x14ac:dyDescent="0.25">
      <c r="A48" s="265"/>
      <c r="B48" s="267"/>
      <c r="C48" s="267"/>
      <c r="D48" s="265"/>
      <c r="E48" s="265"/>
      <c r="F48" s="265"/>
      <c r="G48" s="265"/>
    </row>
    <row r="49" spans="1:15" ht="15" customHeight="1" x14ac:dyDescent="0.25">
      <c r="A49" s="265"/>
      <c r="B49" s="268"/>
      <c r="C49" s="268"/>
      <c r="D49" s="265"/>
      <c r="E49" s="265"/>
      <c r="F49" s="265"/>
      <c r="G49" s="265"/>
    </row>
    <row r="50" spans="1:15" ht="15" customHeight="1" x14ac:dyDescent="0.25">
      <c r="A50" s="265"/>
      <c r="B50" s="269"/>
      <c r="C50" s="269"/>
      <c r="D50" s="265"/>
      <c r="E50" s="265"/>
      <c r="F50" s="265"/>
      <c r="G50" s="265"/>
    </row>
    <row r="51" spans="1:15" ht="15" customHeight="1" x14ac:dyDescent="0.25"/>
    <row r="52" spans="1:15" ht="15" customHeight="1" x14ac:dyDescent="0.25">
      <c r="A52" s="270" t="s">
        <v>275</v>
      </c>
    </row>
    <row r="53" spans="1:15" ht="15" customHeight="1" x14ac:dyDescent="0.25">
      <c r="A53" s="238" t="str">
        <f>"Shows how total annual cost changes as CMC improves. Uses low force point ("&amp;TEXT($B$6,"#,##0")&amp;" lbf, worst case). Cal cost = $"&amp;TEXT(Dashboard!B21,"#,##0")&amp;"/cell."</f>
        <v>Shows how total annual cost changes as CMC improves. Uses low force point (500 lbf, worst case). Cal cost = $2,000/cell.</v>
      </c>
    </row>
    <row r="54" spans="1:15" ht="36" customHeight="1" x14ac:dyDescent="0.25">
      <c r="A54" s="247" t="s">
        <v>131</v>
      </c>
      <c r="B54" s="247" t="s">
        <v>158</v>
      </c>
      <c r="C54" s="247"/>
      <c r="D54" s="247" t="s">
        <v>132</v>
      </c>
      <c r="E54" s="247" t="s">
        <v>276</v>
      </c>
      <c r="F54" s="247" t="s">
        <v>277</v>
      </c>
      <c r="G54" s="247" t="s">
        <v>278</v>
      </c>
      <c r="H54" s="247" t="s">
        <v>279</v>
      </c>
      <c r="I54" s="247" t="s">
        <v>280</v>
      </c>
      <c r="J54" s="247" t="s">
        <v>281</v>
      </c>
      <c r="K54" s="247" t="s">
        <v>282</v>
      </c>
      <c r="L54" s="247" t="s">
        <v>283</v>
      </c>
      <c r="M54" s="247" t="s">
        <v>284</v>
      </c>
      <c r="N54" s="271" t="s">
        <v>285</v>
      </c>
      <c r="O54" s="271" t="s">
        <v>286</v>
      </c>
    </row>
    <row r="55" spans="1:15" ht="15" customHeight="1" x14ac:dyDescent="0.25">
      <c r="A55" s="255">
        <v>1E-3</v>
      </c>
      <c r="B55" s="232">
        <f t="shared" ref="B55:B68" si="16">A55*$B$6</f>
        <v>0.5</v>
      </c>
      <c r="C55" s="232"/>
      <c r="D55" s="129">
        <f t="shared" ref="D55:D68" si="17">IF(B55=0,999,$F$6/B55)</f>
        <v>1</v>
      </c>
      <c r="E55" s="190">
        <f>MAX(0,$B$9-'Risk Calc'!$B$401*SUMPRODUCT(NORMDIST('Risk Calc'!$A$402:$A$431,0,'Range Analysis'!$F$8,FALSE()),NORMDIST(('Range Analysis'!$F$6-'Risk Calc'!$A$402:$A$431)/(B55/2),0,1,TRUE())-NORMDIST((-'Range Analysis'!$F$6-'Risk Calc'!$A$402:$A$431)/(B55/2),0,1,TRUE())))</f>
        <v>0.13679334072020999</v>
      </c>
      <c r="F55" s="190">
        <f>MAX(0,$B$9-'Risk Calc'!$B$401*SUMPRODUCT(NORMDIST('Risk Calc'!$A$402:$A$431,0,'Range Analysis'!$F$8,FALSE()),NORMDIST((($F$6-B55*MAX(0,1.04-EXP(0.38*LN(D55)-0.54)))-'Risk Calc'!$A$402:$A$431)/(B55/2),0,1,TRUE())-NORMDIST((-($F$6-B55*MAX(0,1.04-EXP(0.38*LN(D55)-0.54)))-'Risk Calc'!$A$402:$A$431)/(B55/2),0,1,TRUE())))</f>
        <v>0.39807272358878948</v>
      </c>
      <c r="G55" s="190">
        <f>MAX(0,$B$9-'Risk Calc'!$B$401*SUMPRODUCT(NORMDIST('Risk Calc'!$A$402:$A$431,0,'Range Analysis'!$F$8,FALSE()),NORMDIST((($F$6-0.98*B55)-'Risk Calc'!$A$402:$A$431)/(B55/2),0,1,TRUE())-NORMDIST((-($F$6-0.98*B55)-'Risk Calc'!$A$402:$A$431)/(B55/2),0,1,TRUE())))</f>
        <v>0.87028526794463634</v>
      </c>
      <c r="H55" s="131">
        <f t="shared" ref="H55:H68" si="18">MAX(0,E55*$B$10*$B$11)</f>
        <v>7979.6115420122496</v>
      </c>
      <c r="I55" s="131">
        <f t="shared" ref="I55:I68" si="19">MAX(0,F55*$B$10*$B$11)</f>
        <v>23220.90887601272</v>
      </c>
      <c r="J55" s="131">
        <f t="shared" ref="J55:J68" si="20">MAX(0,G55*$B$10*$B$11)</f>
        <v>50766.640630103786</v>
      </c>
      <c r="K55" s="131">
        <f t="shared" ref="K55:K68" si="21">H55+2000</f>
        <v>9979.6115420122496</v>
      </c>
      <c r="L55" s="131">
        <f t="shared" ref="L55:L68" si="22">I55+2000</f>
        <v>25220.90887601272</v>
      </c>
      <c r="M55" s="131">
        <f t="shared" ref="M55:M68" si="23">J55+2000</f>
        <v>52766.640630103786</v>
      </c>
      <c r="N55" s="131">
        <f t="shared" ref="N55:N68" si="24">IF(L55&gt;=L$59,0,$L$59-L55)</f>
        <v>0</v>
      </c>
      <c r="O55" t="s">
        <v>287</v>
      </c>
    </row>
    <row r="56" spans="1:15" ht="15" customHeight="1" x14ac:dyDescent="0.25">
      <c r="A56" s="255">
        <v>8.0000000000000004E-4</v>
      </c>
      <c r="B56" s="232">
        <f t="shared" si="16"/>
        <v>0.4</v>
      </c>
      <c r="C56" s="232"/>
      <c r="D56" s="129">
        <f t="shared" si="17"/>
        <v>1.25</v>
      </c>
      <c r="E56" s="190">
        <f>MAX(0,$B$9-'Risk Calc'!$B$401*SUMPRODUCT(NORMDIST('Risk Calc'!$A$402:$A$431,0,'Range Analysis'!$F$8,FALSE()),NORMDIST(('Range Analysis'!$F$6-'Risk Calc'!$A$402:$A$431)/(B56/2),0,1,TRUE())-NORMDIST((-'Range Analysis'!$F$6-'Risk Calc'!$A$402:$A$431)/(B56/2),0,1,TRUE())))</f>
        <v>9.9631380658368962E-2</v>
      </c>
      <c r="F56" s="190">
        <f>MAX(0,$B$9-'Risk Calc'!$B$401*SUMPRODUCT(NORMDIST('Risk Calc'!$A$402:$A$431,0,'Range Analysis'!$F$8,FALSE()),NORMDIST((($F$6-B56*MAX(0,1.04-EXP(0.38*LN(D56)-0.54)))-'Risk Calc'!$A$402:$A$431)/(B56/2),0,1,TRUE())-NORMDIST((-($F$6-B56*MAX(0,1.04-EXP(0.38*LN(D56)-0.54)))-'Risk Calc'!$A$402:$A$431)/(B56/2),0,1,TRUE())))</f>
        <v>0.26362296515751338</v>
      </c>
      <c r="G56" s="190">
        <f>MAX(0,$B$9-'Risk Calc'!$B$401*SUMPRODUCT(NORMDIST('Risk Calc'!$A$402:$A$431,0,'Range Analysis'!$F$8,FALSE()),NORMDIST((($F$6-0.98*B56)-'Risk Calc'!$A$402:$A$431)/(B56/2),0,1,TRUE())-NORMDIST((-($F$6-0.98*B56)-'Risk Calc'!$A$402:$A$431)/(B56/2),0,1,TRUE())))</f>
        <v>0.66207653852005721</v>
      </c>
      <c r="H56" s="131">
        <f t="shared" si="18"/>
        <v>5811.8305384048563</v>
      </c>
      <c r="I56" s="131">
        <f t="shared" si="19"/>
        <v>15378.006300854946</v>
      </c>
      <c r="J56" s="131">
        <f t="shared" si="20"/>
        <v>38621.131413670002</v>
      </c>
      <c r="K56" s="131">
        <f t="shared" si="21"/>
        <v>7811.8305384048563</v>
      </c>
      <c r="L56" s="131">
        <f t="shared" si="22"/>
        <v>17378.006300854948</v>
      </c>
      <c r="M56" s="131">
        <f t="shared" si="23"/>
        <v>40621.131413670002</v>
      </c>
      <c r="N56" s="131">
        <f t="shared" si="24"/>
        <v>0</v>
      </c>
      <c r="O56" s="131">
        <f t="shared" ref="O56:O68" si="25">IF(A55=A56,0,(L55-L56)/((A55-A56)*10000))</f>
        <v>3921.4512875788864</v>
      </c>
    </row>
    <row r="57" spans="1:15" ht="15" customHeight="1" x14ac:dyDescent="0.25">
      <c r="A57" s="255">
        <v>5.9999999999999995E-4</v>
      </c>
      <c r="B57" s="232">
        <f t="shared" si="16"/>
        <v>0.3</v>
      </c>
      <c r="C57" s="232"/>
      <c r="D57" s="129">
        <f t="shared" si="17"/>
        <v>1.6666666666666667</v>
      </c>
      <c r="E57" s="190">
        <f>MAX(0,$B$9-'Risk Calc'!$B$401*SUMPRODUCT(NORMDIST('Risk Calc'!$A$402:$A$431,0,'Range Analysis'!$F$8,FALSE()),NORMDIST(('Range Analysis'!$F$6-'Risk Calc'!$A$402:$A$431)/(B57/2),0,1,TRUE())-NORMDIST((-'Range Analysis'!$F$6-'Risk Calc'!$A$402:$A$431)/(B57/2),0,1,TRUE())))</f>
        <v>6.6447168771910814E-2</v>
      </c>
      <c r="F57" s="190">
        <f>MAX(0,$B$9-'Risk Calc'!$B$401*SUMPRODUCT(NORMDIST('Risk Calc'!$A$402:$A$431,0,'Range Analysis'!$F$8,FALSE()),NORMDIST((($F$6-B57*MAX(0,1.04-EXP(0.38*LN(D57)-0.54)))-'Risk Calc'!$A$402:$A$431)/(B57/2),0,1,TRUE())-NORMDIST((-($F$6-B57*MAX(0,1.04-EXP(0.38*LN(D57)-0.54)))-'Risk Calc'!$A$402:$A$431)/(B57/2),0,1,TRUE())))</f>
        <v>0.14972940574663918</v>
      </c>
      <c r="G57" s="190">
        <f>MAX(0,$B$9-'Risk Calc'!$B$401*SUMPRODUCT(NORMDIST('Risk Calc'!$A$402:$A$431,0,'Range Analysis'!$F$8,FALSE()),NORMDIST((($F$6-0.98*B57)-'Risk Calc'!$A$402:$A$431)/(B57/2),0,1,TRUE())-NORMDIST((-($F$6-0.98*B57)-'Risk Calc'!$A$402:$A$431)/(B57/2),0,1,TRUE())))</f>
        <v>0.44345215112669878</v>
      </c>
      <c r="H57" s="131">
        <f t="shared" si="18"/>
        <v>3876.084845028131</v>
      </c>
      <c r="I57" s="131">
        <f t="shared" si="19"/>
        <v>8734.2153352206187</v>
      </c>
      <c r="J57" s="131">
        <f t="shared" si="20"/>
        <v>25868.04214905743</v>
      </c>
      <c r="K57" s="131">
        <f t="shared" si="21"/>
        <v>5876.084845028131</v>
      </c>
      <c r="L57" s="131">
        <f t="shared" si="22"/>
        <v>10734.215335220619</v>
      </c>
      <c r="M57" s="131">
        <f t="shared" si="23"/>
        <v>27868.04214905743</v>
      </c>
      <c r="N57" s="131">
        <f t="shared" si="24"/>
        <v>0</v>
      </c>
      <c r="O57" s="131">
        <f t="shared" si="25"/>
        <v>3321.8954828171632</v>
      </c>
    </row>
    <row r="58" spans="1:15" ht="15" customHeight="1" x14ac:dyDescent="0.25">
      <c r="A58" s="255">
        <v>5.0000000000000001E-4</v>
      </c>
      <c r="B58" s="232">
        <f t="shared" si="16"/>
        <v>0.25</v>
      </c>
      <c r="C58" s="232"/>
      <c r="D58" s="129">
        <f t="shared" si="17"/>
        <v>2</v>
      </c>
      <c r="E58" s="190">
        <f>MAX(0,$B$9-'Risk Calc'!$B$401*SUMPRODUCT(NORMDIST('Risk Calc'!$A$402:$A$431,0,'Range Analysis'!$F$8,FALSE()),NORMDIST(('Range Analysis'!$F$6-'Risk Calc'!$A$402:$A$431)/(B58/2),0,1,TRUE())-NORMDIST((-'Range Analysis'!$F$6-'Risk Calc'!$A$402:$A$431)/(B58/2),0,1,TRUE())))</f>
        <v>5.1771425068408372E-2</v>
      </c>
      <c r="F58" s="190">
        <f>MAX(0,$B$9-'Risk Calc'!$B$401*SUMPRODUCT(NORMDIST('Risk Calc'!$A$402:$A$431,0,'Range Analysis'!$F$8,FALSE()),NORMDIST((($F$6-B58*MAX(0,1.04-EXP(0.38*LN(D58)-0.54)))-'Risk Calc'!$A$402:$A$431)/(B58/2),0,1,TRUE())-NORMDIST((-($F$6-B58*MAX(0,1.04-EXP(0.38*LN(D58)-0.54)))-'Risk Calc'!$A$402:$A$431)/(B58/2),0,1,TRUE())))</f>
        <v>0.10369634310346409</v>
      </c>
      <c r="G58" s="190">
        <f>MAX(0,$B$9-'Risk Calc'!$B$401*SUMPRODUCT(NORMDIST('Risk Calc'!$A$402:$A$431,0,'Range Analysis'!$F$8,FALSE()),NORMDIST((($F$6-0.98*B58)-'Risk Calc'!$A$402:$A$431)/(B58/2),0,1,TRUE())-NORMDIST((-($F$6-0.98*B58)-'Risk Calc'!$A$402:$A$431)/(B58/2),0,1,TRUE())))</f>
        <v>0.3397693810771496</v>
      </c>
      <c r="H58" s="131">
        <f t="shared" si="18"/>
        <v>3019.9997956571551</v>
      </c>
      <c r="I58" s="131">
        <f t="shared" si="19"/>
        <v>6048.9533477020732</v>
      </c>
      <c r="J58" s="131">
        <f t="shared" si="20"/>
        <v>19819.880562833729</v>
      </c>
      <c r="K58" s="131">
        <f t="shared" si="21"/>
        <v>5019.9997956571551</v>
      </c>
      <c r="L58" s="131">
        <f t="shared" si="22"/>
        <v>8048.9533477020732</v>
      </c>
      <c r="M58" s="131">
        <f t="shared" si="23"/>
        <v>21819.880562833729</v>
      </c>
      <c r="N58" s="131">
        <f t="shared" si="24"/>
        <v>0</v>
      </c>
      <c r="O58" s="131">
        <f t="shared" si="25"/>
        <v>2685.2619875185474</v>
      </c>
    </row>
    <row r="59" spans="1:15" ht="15" customHeight="1" x14ac:dyDescent="0.25">
      <c r="A59" s="255">
        <v>4.0000000000000002E-4</v>
      </c>
      <c r="B59" s="232">
        <f t="shared" si="16"/>
        <v>0.2</v>
      </c>
      <c r="C59" s="232"/>
      <c r="D59" s="129">
        <f t="shared" si="17"/>
        <v>2.5</v>
      </c>
      <c r="E59" s="190">
        <f>MAX(0,$B$9-'Risk Calc'!$B$401*SUMPRODUCT(NORMDIST('Risk Calc'!$A$402:$A$431,0,'Range Analysis'!$F$8,FALSE()),NORMDIST(('Range Analysis'!$F$6-'Risk Calc'!$A$402:$A$431)/(B59/2),0,1,TRUE())-NORMDIST((-'Range Analysis'!$F$6-'Risk Calc'!$A$402:$A$431)/(B59/2),0,1,TRUE())))</f>
        <v>3.8512091878180166E-2</v>
      </c>
      <c r="F59" s="190">
        <f>MAX(0,$B$9-'Risk Calc'!$B$401*SUMPRODUCT(NORMDIST('Risk Calc'!$A$402:$A$431,0,'Range Analysis'!$F$8,FALSE()),NORMDIST((($F$6-B59*MAX(0,1.04-EXP(0.38*LN(D59)-0.54)))-'Risk Calc'!$A$402:$A$431)/(B59/2),0,1,TRUE())-NORMDIST((-($F$6-B59*MAX(0,1.04-EXP(0.38*LN(D59)-0.54)))-'Risk Calc'!$A$402:$A$431)/(B59/2),0,1,TRUE())))</f>
        <v>6.5825699547921168E-2</v>
      </c>
      <c r="G59" s="190">
        <f>MAX(0,$B$9-'Risk Calc'!$B$401*SUMPRODUCT(NORMDIST('Risk Calc'!$A$402:$A$431,0,'Range Analysis'!$F$8,FALSE()),NORMDIST((($F$6-0.98*B59)-'Risk Calc'!$A$402:$A$431)/(B59/2),0,1,TRUE())-NORMDIST((-($F$6-0.98*B59)-'Risk Calc'!$A$402:$A$431)/(B59/2),0,1,TRUE())))</f>
        <v>0.24521266717261037</v>
      </c>
      <c r="H59" s="131">
        <f t="shared" si="18"/>
        <v>2246.5386928938428</v>
      </c>
      <c r="I59" s="131">
        <f t="shared" si="19"/>
        <v>3839.8324736287354</v>
      </c>
      <c r="J59" s="131">
        <f t="shared" si="20"/>
        <v>14304.072251735606</v>
      </c>
      <c r="K59" s="131">
        <f t="shared" si="21"/>
        <v>4246.5386928938424</v>
      </c>
      <c r="L59" s="131">
        <f t="shared" si="22"/>
        <v>5839.8324736287359</v>
      </c>
      <c r="M59" s="131">
        <f t="shared" si="23"/>
        <v>16304.072251735606</v>
      </c>
      <c r="N59" s="131">
        <f t="shared" si="24"/>
        <v>0</v>
      </c>
      <c r="O59" s="131">
        <f t="shared" si="25"/>
        <v>2209.1208740733377</v>
      </c>
    </row>
    <row r="60" spans="1:15" ht="15" customHeight="1" x14ac:dyDescent="0.25">
      <c r="A60" s="255">
        <v>3.5E-4</v>
      </c>
      <c r="B60" s="232">
        <f t="shared" si="16"/>
        <v>0.17499999999999999</v>
      </c>
      <c r="C60" s="232"/>
      <c r="D60" s="129">
        <f t="shared" si="17"/>
        <v>2.8571428571428572</v>
      </c>
      <c r="E60" s="190">
        <f>MAX(0,$B$9-'Risk Calc'!$B$401*SUMPRODUCT(NORMDIST('Risk Calc'!$A$402:$A$431,0,'Range Analysis'!$F$8,FALSE()),NORMDIST(('Range Analysis'!$F$6-'Risk Calc'!$A$402:$A$431)/(B60/2),0,1,TRUE())-NORMDIST((-'Range Analysis'!$F$6-'Risk Calc'!$A$402:$A$431)/(B60/2),0,1,TRUE())))</f>
        <v>3.2425368642215679E-2</v>
      </c>
      <c r="F60" s="190">
        <f>MAX(0,$B$9-'Risk Calc'!$B$401*SUMPRODUCT(NORMDIST('Risk Calc'!$A$402:$A$431,0,'Range Analysis'!$F$8,FALSE()),NORMDIST((($F$6-B60*MAX(0,1.04-EXP(0.38*LN(D60)-0.54)))-'Risk Calc'!$A$402:$A$431)/(B60/2),0,1,TRUE())-NORMDIST((-($F$6-B60*MAX(0,1.04-EXP(0.38*LN(D60)-0.54)))-'Risk Calc'!$A$402:$A$431)/(B60/2),0,1,TRUE())))</f>
        <v>4.9998872084739743E-2</v>
      </c>
      <c r="G60" s="190">
        <f>MAX(0,$B$9-'Risk Calc'!$B$401*SUMPRODUCT(NORMDIST('Risk Calc'!$A$402:$A$431,0,'Range Analysis'!$F$8,FALSE()),NORMDIST((($F$6-0.98*B60)-'Risk Calc'!$A$402:$A$431)/(B60/2),0,1,TRUE())-NORMDIST((-($F$6-0.98*B60)-'Risk Calc'!$A$402:$A$431)/(B60/2),0,1,TRUE())))</f>
        <v>0.20239686222636877</v>
      </c>
      <c r="H60" s="131">
        <f t="shared" si="18"/>
        <v>1891.4798374625814</v>
      </c>
      <c r="I60" s="131">
        <f t="shared" si="19"/>
        <v>2916.6008716098186</v>
      </c>
      <c r="J60" s="131">
        <f t="shared" si="20"/>
        <v>11806.483629871513</v>
      </c>
      <c r="K60" s="131">
        <f t="shared" si="21"/>
        <v>3891.4798374625816</v>
      </c>
      <c r="L60" s="131">
        <f t="shared" si="22"/>
        <v>4916.6008716098186</v>
      </c>
      <c r="M60" s="131">
        <f t="shared" si="23"/>
        <v>13806.483629871513</v>
      </c>
      <c r="N60" s="131">
        <f t="shared" si="24"/>
        <v>923.23160201891733</v>
      </c>
      <c r="O60" s="131">
        <f t="shared" si="25"/>
        <v>1846.4632040378337</v>
      </c>
    </row>
    <row r="61" spans="1:15" ht="15" customHeight="1" x14ac:dyDescent="0.25">
      <c r="A61" s="255">
        <v>2.9999999999999997E-4</v>
      </c>
      <c r="B61" s="232">
        <f t="shared" si="16"/>
        <v>0.15</v>
      </c>
      <c r="C61" s="232"/>
      <c r="D61" s="129">
        <f t="shared" si="17"/>
        <v>3.3333333333333335</v>
      </c>
      <c r="E61" s="190">
        <f>MAX(0,$B$9-'Risk Calc'!$B$401*SUMPRODUCT(NORMDIST('Risk Calc'!$A$402:$A$431,0,'Range Analysis'!$F$8,FALSE()),NORMDIST(('Range Analysis'!$F$6-'Risk Calc'!$A$402:$A$431)/(B61/2),0,1,TRUE())-NORMDIST((-'Range Analysis'!$F$6-'Risk Calc'!$A$402:$A$431)/(B61/2),0,1,TRUE())))</f>
        <v>2.6698300002899078E-2</v>
      </c>
      <c r="F61" s="190">
        <f>MAX(0,$B$9-'Risk Calc'!$B$401*SUMPRODUCT(NORMDIST('Risk Calc'!$A$402:$A$431,0,'Range Analysis'!$F$8,FALSE()),NORMDIST((($F$6-B61*MAX(0,1.04-EXP(0.38*LN(D61)-0.54)))-'Risk Calc'!$A$402:$A$431)/(B61/2),0,1,TRUE())-NORMDIST((-($F$6-B61*MAX(0,1.04-EXP(0.38*LN(D61)-0.54)))-'Risk Calc'!$A$402:$A$431)/(B61/2),0,1,TRUE())))</f>
        <v>3.6230831540924213E-2</v>
      </c>
      <c r="G61" s="190">
        <f>MAX(0,$B$9-'Risk Calc'!$B$401*SUMPRODUCT(NORMDIST('Risk Calc'!$A$402:$A$431,0,'Range Analysis'!$F$8,FALSE()),NORMDIST((($F$6-0.98*B61)-'Risk Calc'!$A$402:$A$431)/(B61/2),0,1,TRUE())-NORMDIST((-($F$6-0.98*B61)-'Risk Calc'!$A$402:$A$431)/(B61/2),0,1,TRUE())))</f>
        <v>0.16295177264276839</v>
      </c>
      <c r="H61" s="131">
        <f t="shared" si="18"/>
        <v>1557.4008335024462</v>
      </c>
      <c r="I61" s="131">
        <f t="shared" si="19"/>
        <v>2113.4651732205793</v>
      </c>
      <c r="J61" s="131">
        <f t="shared" si="20"/>
        <v>9505.5200708281573</v>
      </c>
      <c r="K61" s="131">
        <f t="shared" si="21"/>
        <v>3557.4008335024464</v>
      </c>
      <c r="L61" s="131">
        <f t="shared" si="22"/>
        <v>4113.4651732205793</v>
      </c>
      <c r="M61" s="131">
        <f t="shared" si="23"/>
        <v>11505.520070828157</v>
      </c>
      <c r="N61" s="131">
        <f t="shared" si="24"/>
        <v>1726.3673004081566</v>
      </c>
      <c r="O61" s="131">
        <f t="shared" si="25"/>
        <v>1606.2713967784778</v>
      </c>
    </row>
    <row r="62" spans="1:15" ht="15" customHeight="1" x14ac:dyDescent="0.25">
      <c r="A62" s="255">
        <v>2.5000000000000001E-4</v>
      </c>
      <c r="B62" s="232">
        <f t="shared" si="16"/>
        <v>0.125</v>
      </c>
      <c r="C62" s="232"/>
      <c r="D62" s="129">
        <f t="shared" si="17"/>
        <v>4</v>
      </c>
      <c r="E62" s="190">
        <f>MAX(0,$B$9-'Risk Calc'!$B$401*SUMPRODUCT(NORMDIST('Risk Calc'!$A$402:$A$431,0,'Range Analysis'!$F$8,FALSE()),NORMDIST(('Range Analysis'!$F$6-'Risk Calc'!$A$402:$A$431)/(B62/2),0,1,TRUE())-NORMDIST((-'Range Analysis'!$F$6-'Risk Calc'!$A$402:$A$431)/(B62/2),0,1,TRUE())))</f>
        <v>2.1322778311308355E-2</v>
      </c>
      <c r="F62" s="190">
        <f>MAX(0,$B$9-'Risk Calc'!$B$401*SUMPRODUCT(NORMDIST('Risk Calc'!$A$402:$A$431,0,'Range Analysis'!$F$8,FALSE()),NORMDIST((($F$6-B62*MAX(0,1.04-EXP(0.38*LN(D62)-0.54)))-'Risk Calc'!$A$402:$A$431)/(B62/2),0,1,TRUE())-NORMDIST((-($F$6-B62*MAX(0,1.04-EXP(0.38*LN(D62)-0.54)))-'Risk Calc'!$A$402:$A$431)/(B62/2),0,1,TRUE())))</f>
        <v>2.4507475150547631E-2</v>
      </c>
      <c r="G62" s="190">
        <f>MAX(0,$B$9-'Risk Calc'!$B$401*SUMPRODUCT(NORMDIST('Risk Calc'!$A$402:$A$431,0,'Range Analysis'!$F$8,FALSE()),NORMDIST((($F$6-0.98*B62)-'Risk Calc'!$A$402:$A$431)/(B62/2),0,1,TRUE())-NORMDIST((-($F$6-0.98*B62)-'Risk Calc'!$A$402:$A$431)/(B62/2),0,1,TRUE())))</f>
        <v>0.12705097786092645</v>
      </c>
      <c r="H62" s="131">
        <f t="shared" si="18"/>
        <v>1243.8287348263207</v>
      </c>
      <c r="I62" s="131">
        <f t="shared" si="19"/>
        <v>1429.6027171152784</v>
      </c>
      <c r="J62" s="131">
        <f t="shared" si="20"/>
        <v>7411.3070418873767</v>
      </c>
      <c r="K62" s="131">
        <f t="shared" si="21"/>
        <v>3243.8287348263207</v>
      </c>
      <c r="L62" s="131">
        <f t="shared" si="22"/>
        <v>3429.6027171152782</v>
      </c>
      <c r="M62" s="131">
        <f t="shared" si="23"/>
        <v>9411.3070418873758</v>
      </c>
      <c r="N62" s="131">
        <f t="shared" si="24"/>
        <v>2410.2297565134577</v>
      </c>
      <c r="O62" s="131">
        <f t="shared" si="25"/>
        <v>1367.7249122106032</v>
      </c>
    </row>
    <row r="63" spans="1:15" ht="15" customHeight="1" x14ac:dyDescent="0.25">
      <c r="A63" s="255">
        <v>2.0000000000000001E-4</v>
      </c>
      <c r="B63" s="232">
        <f t="shared" si="16"/>
        <v>0.1</v>
      </c>
      <c r="C63" s="232"/>
      <c r="D63" s="129">
        <f t="shared" si="17"/>
        <v>5</v>
      </c>
      <c r="E63" s="190">
        <f>MAX(0,$B$9-'Risk Calc'!$B$401*SUMPRODUCT(NORMDIST('Risk Calc'!$A$402:$A$431,0,'Range Analysis'!$F$8,FALSE()),NORMDIST(('Range Analysis'!$F$6-'Risk Calc'!$A$402:$A$431)/(B63/2),0,1,TRUE())-NORMDIST((-'Range Analysis'!$F$6-'Risk Calc'!$A$402:$A$431)/(B63/2),0,1,TRUE())))</f>
        <v>1.6283346768328988E-2</v>
      </c>
      <c r="F63" s="190">
        <f>MAX(0,$B$9-'Risk Calc'!$B$401*SUMPRODUCT(NORMDIST('Risk Calc'!$A$402:$A$431,0,'Range Analysis'!$F$8,FALSE()),NORMDIST((($F$6-B63*MAX(0,1.04-EXP(0.38*LN(D63)-0.54)))-'Risk Calc'!$A$402:$A$431)/(B63/2),0,1,TRUE())-NORMDIST((-($F$6-B63*MAX(0,1.04-EXP(0.38*LN(D63)-0.54)))-'Risk Calc'!$A$402:$A$431)/(B63/2),0,1,TRUE())))</f>
        <v>1.6283346768328988E-2</v>
      </c>
      <c r="G63" s="190">
        <f>MAX(0,$B$9-'Risk Calc'!$B$401*SUMPRODUCT(NORMDIST('Risk Calc'!$A$402:$A$431,0,'Range Analysis'!$F$8,FALSE()),NORMDIST((($F$6-0.98*B63)-'Risk Calc'!$A$402:$A$431)/(B63/2),0,1,TRUE())-NORMDIST((-($F$6-0.98*B63)-'Risk Calc'!$A$402:$A$431)/(B63/2),0,1,TRUE())))</f>
        <v>9.4763797689333185E-2</v>
      </c>
      <c r="H63" s="131">
        <f t="shared" si="18"/>
        <v>949.86189481919109</v>
      </c>
      <c r="I63" s="131">
        <f t="shared" si="19"/>
        <v>949.86189481919109</v>
      </c>
      <c r="J63" s="131">
        <f t="shared" si="20"/>
        <v>5527.8881985444359</v>
      </c>
      <c r="K63" s="131">
        <f t="shared" si="21"/>
        <v>2949.8618948191911</v>
      </c>
      <c r="L63" s="131">
        <f t="shared" si="22"/>
        <v>2949.8618948191911</v>
      </c>
      <c r="M63" s="131">
        <f t="shared" si="23"/>
        <v>7527.8881985444359</v>
      </c>
      <c r="N63" s="131">
        <f t="shared" si="24"/>
        <v>2889.9705788095448</v>
      </c>
      <c r="O63" s="131">
        <f t="shared" si="25"/>
        <v>959.48164459217435</v>
      </c>
    </row>
    <row r="64" spans="1:15" ht="15" customHeight="1" x14ac:dyDescent="0.25">
      <c r="A64" s="255">
        <v>1.4999999999999999E-4</v>
      </c>
      <c r="B64" s="232">
        <f t="shared" si="16"/>
        <v>7.4999999999999997E-2</v>
      </c>
      <c r="C64" s="232"/>
      <c r="D64" s="129">
        <f t="shared" si="17"/>
        <v>6.666666666666667</v>
      </c>
      <c r="E64" s="190">
        <f>MAX(0,$B$9-'Risk Calc'!$B$401*SUMPRODUCT(NORMDIST('Risk Calc'!$A$402:$A$431,0,'Range Analysis'!$F$8,FALSE()),NORMDIST(('Range Analysis'!$F$6-'Risk Calc'!$A$402:$A$431)/(B64/2),0,1,TRUE())-NORMDIST((-'Range Analysis'!$F$6-'Risk Calc'!$A$402:$A$431)/(B64/2),0,1,TRUE())))</f>
        <v>1.1549961620140436E-2</v>
      </c>
      <c r="F64" s="190">
        <f>MAX(0,$B$9-'Risk Calc'!$B$401*SUMPRODUCT(NORMDIST('Risk Calc'!$A$402:$A$431,0,'Range Analysis'!$F$8,FALSE()),NORMDIST((($F$6-B64*MAX(0,1.04-EXP(0.38*LN(D64)-0.54)))-'Risk Calc'!$A$402:$A$431)/(B64/2),0,1,TRUE())-NORMDIST((-($F$6-B64*MAX(0,1.04-EXP(0.38*LN(D64)-0.54)))-'Risk Calc'!$A$402:$A$431)/(B64/2),0,1,TRUE())))</f>
        <v>1.1549961620140436E-2</v>
      </c>
      <c r="G64" s="190">
        <f>MAX(0,$B$9-'Risk Calc'!$B$401*SUMPRODUCT(NORMDIST('Risk Calc'!$A$402:$A$431,0,'Range Analysis'!$F$8,FALSE()),NORMDIST((($F$6-0.98*B64)-'Risk Calc'!$A$402:$A$431)/(B64/2),0,1,TRUE())-NORMDIST((-($F$6-0.98*B64)-'Risk Calc'!$A$402:$A$431)/(B64/2),0,1,TRUE())))</f>
        <v>6.6058939874954703E-2</v>
      </c>
      <c r="H64" s="131">
        <f t="shared" si="18"/>
        <v>673.74776117485885</v>
      </c>
      <c r="I64" s="131">
        <f t="shared" si="19"/>
        <v>673.74776117485885</v>
      </c>
      <c r="J64" s="131">
        <f t="shared" si="20"/>
        <v>3853.4381593723579</v>
      </c>
      <c r="K64" s="131">
        <f t="shared" si="21"/>
        <v>2673.7477611748591</v>
      </c>
      <c r="L64" s="131">
        <f t="shared" si="22"/>
        <v>2673.7477611748591</v>
      </c>
      <c r="M64" s="131">
        <f t="shared" si="23"/>
        <v>5853.4381593723574</v>
      </c>
      <c r="N64" s="131">
        <f t="shared" si="24"/>
        <v>3166.0847124538768</v>
      </c>
      <c r="O64" s="131">
        <f t="shared" si="25"/>
        <v>552.2282672886638</v>
      </c>
    </row>
    <row r="65" spans="1:15" ht="15" customHeight="1" x14ac:dyDescent="0.25">
      <c r="A65" s="255">
        <v>1E-4</v>
      </c>
      <c r="B65" s="232">
        <f t="shared" si="16"/>
        <v>0.05</v>
      </c>
      <c r="C65" s="232"/>
      <c r="D65" s="129">
        <f t="shared" si="17"/>
        <v>10</v>
      </c>
      <c r="E65" s="190">
        <f>MAX(0,$B$9-'Risk Calc'!$B$401*SUMPRODUCT(NORMDIST('Risk Calc'!$A$402:$A$431,0,'Range Analysis'!$F$8,FALSE()),NORMDIST(('Range Analysis'!$F$6-'Risk Calc'!$A$402:$A$431)/(B65/2),0,1,TRUE())-NORMDIST((-'Range Analysis'!$F$6-'Risk Calc'!$A$402:$A$431)/(B65/2),0,1,TRUE())))</f>
        <v>7.0422157211215142E-3</v>
      </c>
      <c r="F65" s="190">
        <f>MAX(0,$B$9-'Risk Calc'!$B$401*SUMPRODUCT(NORMDIST('Risk Calc'!$A$402:$A$431,0,'Range Analysis'!$F$8,FALSE()),NORMDIST((($F$6-B65*MAX(0,1.04-EXP(0.38*LN(D65)-0.54)))-'Risk Calc'!$A$402:$A$431)/(B65/2),0,1,TRUE())-NORMDIST((-($F$6-B65*MAX(0,1.04-EXP(0.38*LN(D65)-0.54)))-'Risk Calc'!$A$402:$A$431)/(B65/2),0,1,TRUE())))</f>
        <v>7.0422157211215142E-3</v>
      </c>
      <c r="G65" s="190">
        <f>MAX(0,$B$9-'Risk Calc'!$B$401*SUMPRODUCT(NORMDIST('Risk Calc'!$A$402:$A$431,0,'Range Analysis'!$F$8,FALSE()),NORMDIST((($F$6-0.98*B65)-'Risk Calc'!$A$402:$A$431)/(B65/2),0,1,TRUE())-NORMDIST((-($F$6-0.98*B65)-'Risk Calc'!$A$402:$A$431)/(B65/2),0,1,TRUE())))</f>
        <v>4.0815431019840864E-2</v>
      </c>
      <c r="H65" s="131">
        <f t="shared" si="18"/>
        <v>410.79591706542169</v>
      </c>
      <c r="I65" s="131">
        <f t="shared" si="19"/>
        <v>410.79591706542169</v>
      </c>
      <c r="J65" s="131">
        <f t="shared" si="20"/>
        <v>2380.9001428240504</v>
      </c>
      <c r="K65" s="131">
        <f t="shared" si="21"/>
        <v>2410.7959170654217</v>
      </c>
      <c r="L65" s="131">
        <f t="shared" si="22"/>
        <v>2410.7959170654217</v>
      </c>
      <c r="M65" s="131">
        <f t="shared" si="23"/>
        <v>4380.9001428240499</v>
      </c>
      <c r="N65" s="131">
        <f t="shared" si="24"/>
        <v>3429.0365565633142</v>
      </c>
      <c r="O65" s="131">
        <f t="shared" si="25"/>
        <v>525.903688218875</v>
      </c>
    </row>
    <row r="66" spans="1:15" ht="15" customHeight="1" x14ac:dyDescent="0.25">
      <c r="A66" s="255">
        <v>5.0000000000000002E-5</v>
      </c>
      <c r="B66" s="232">
        <f t="shared" si="16"/>
        <v>2.5000000000000001E-2</v>
      </c>
      <c r="C66" s="232"/>
      <c r="D66" s="129">
        <f t="shared" si="17"/>
        <v>20</v>
      </c>
      <c r="E66" s="190">
        <f>MAX(0,$B$9-'Risk Calc'!$B$401*SUMPRODUCT(NORMDIST('Risk Calc'!$A$402:$A$431,0,'Range Analysis'!$F$8,FALSE()),NORMDIST(('Range Analysis'!$F$6-'Risk Calc'!$A$402:$A$431)/(B66/2),0,1,TRUE())-NORMDIST((-'Range Analysis'!$F$6-'Risk Calc'!$A$402:$A$431)/(B66/2),0,1,TRUE())))</f>
        <v>2.1836991218158186E-3</v>
      </c>
      <c r="F66" s="190">
        <f>MAX(0,$B$9-'Risk Calc'!$B$401*SUMPRODUCT(NORMDIST('Risk Calc'!$A$402:$A$431,0,'Range Analysis'!$F$8,FALSE()),NORMDIST((($F$6-B66*MAX(0,1.04-EXP(0.38*LN(D66)-0.54)))-'Risk Calc'!$A$402:$A$431)/(B66/2),0,1,TRUE())-NORMDIST((-($F$6-B66*MAX(0,1.04-EXP(0.38*LN(D66)-0.54)))-'Risk Calc'!$A$402:$A$431)/(B66/2),0,1,TRUE())))</f>
        <v>2.1836991218158186E-3</v>
      </c>
      <c r="G66" s="190">
        <f>MAX(0,$B$9-'Risk Calc'!$B$401*SUMPRODUCT(NORMDIST('Risk Calc'!$A$402:$A$431,0,'Range Analysis'!$F$8,FALSE()),NORMDIST((($F$6-0.98*B66)-'Risk Calc'!$A$402:$A$431)/(B66/2),0,1,TRUE())-NORMDIST((-($F$6-0.98*B66)-'Risk Calc'!$A$402:$A$431)/(B66/2),0,1,TRUE())))</f>
        <v>1.9389714583913698E-2</v>
      </c>
      <c r="H66" s="131">
        <f t="shared" si="18"/>
        <v>127.38244877258943</v>
      </c>
      <c r="I66" s="131">
        <f t="shared" si="19"/>
        <v>127.38244877258943</v>
      </c>
      <c r="J66" s="131">
        <f t="shared" si="20"/>
        <v>1131.0666840616325</v>
      </c>
      <c r="K66" s="131">
        <f t="shared" si="21"/>
        <v>2127.3824487725892</v>
      </c>
      <c r="L66" s="131">
        <f t="shared" si="22"/>
        <v>2127.3824487725892</v>
      </c>
      <c r="M66" s="131">
        <f t="shared" si="23"/>
        <v>3131.0666840616323</v>
      </c>
      <c r="N66" s="131">
        <f t="shared" si="24"/>
        <v>3712.4500248561467</v>
      </c>
      <c r="O66" s="131">
        <f t="shared" si="25"/>
        <v>566.82693658566495</v>
      </c>
    </row>
    <row r="67" spans="1:15" ht="15" customHeight="1" x14ac:dyDescent="0.25">
      <c r="A67" s="255">
        <v>3.0000000000000001E-5</v>
      </c>
      <c r="B67" s="232">
        <f t="shared" si="16"/>
        <v>1.5000000000000001E-2</v>
      </c>
      <c r="C67" s="232"/>
      <c r="D67" s="129">
        <f t="shared" si="17"/>
        <v>33.333333333333329</v>
      </c>
      <c r="E67" s="190">
        <f>MAX(0,$B$9-'Risk Calc'!$B$401*SUMPRODUCT(NORMDIST('Risk Calc'!$A$402:$A$431,0,'Range Analysis'!$F$8,FALSE()),NORMDIST(('Range Analysis'!$F$6-'Risk Calc'!$A$402:$A$431)/(B67/2),0,1,TRUE())-NORMDIST((-'Range Analysis'!$F$6-'Risk Calc'!$A$402:$A$431)/(B67/2),0,1,TRUE())))</f>
        <v>1.7031880122597709E-4</v>
      </c>
      <c r="F67" s="190">
        <f>MAX(0,$B$9-'Risk Calc'!$B$401*SUMPRODUCT(NORMDIST('Risk Calc'!$A$402:$A$431,0,'Range Analysis'!$F$8,FALSE()),NORMDIST((($F$6-B67*MAX(0,1.04-EXP(0.38*LN(D67)-0.54)))-'Risk Calc'!$A$402:$A$431)/(B67/2),0,1,TRUE())-NORMDIST((-($F$6-B67*MAX(0,1.04-EXP(0.38*LN(D67)-0.54)))-'Risk Calc'!$A$402:$A$431)/(B67/2),0,1,TRUE())))</f>
        <v>1.7031880122597709E-4</v>
      </c>
      <c r="G67" s="190">
        <f>MAX(0,$B$9-'Risk Calc'!$B$401*SUMPRODUCT(NORMDIST('Risk Calc'!$A$402:$A$431,0,'Range Analysis'!$F$8,FALSE()),NORMDIST((($F$6-0.98*B67)-'Risk Calc'!$A$402:$A$431)/(B67/2),0,1,TRUE())-NORMDIST((-($F$6-0.98*B67)-'Risk Calc'!$A$402:$A$431)/(B67/2),0,1,TRUE())))</f>
        <v>1.0053481609335058E-2</v>
      </c>
      <c r="H67" s="131">
        <f t="shared" si="18"/>
        <v>9.9352634048486639</v>
      </c>
      <c r="I67" s="131">
        <f t="shared" si="19"/>
        <v>9.9352634048486639</v>
      </c>
      <c r="J67" s="131">
        <f t="shared" si="20"/>
        <v>586.45309387787847</v>
      </c>
      <c r="K67" s="131">
        <f t="shared" si="21"/>
        <v>2009.9352634048487</v>
      </c>
      <c r="L67" s="131">
        <f t="shared" si="22"/>
        <v>2009.9352634048487</v>
      </c>
      <c r="M67" s="131">
        <f t="shared" si="23"/>
        <v>2586.4530938778785</v>
      </c>
      <c r="N67" s="131">
        <f t="shared" si="24"/>
        <v>3829.8972102238872</v>
      </c>
      <c r="O67" s="131">
        <f t="shared" si="25"/>
        <v>587.23592683870265</v>
      </c>
    </row>
    <row r="68" spans="1:15" ht="15" customHeight="1" x14ac:dyDescent="0.25">
      <c r="A68" s="255">
        <v>2.0000000000000002E-5</v>
      </c>
      <c r="B68" s="232">
        <f t="shared" si="16"/>
        <v>0.01</v>
      </c>
      <c r="C68" s="232"/>
      <c r="D68" s="129">
        <f t="shared" si="17"/>
        <v>50</v>
      </c>
      <c r="E68" s="190">
        <f>MAX(0,$B$9-'Risk Calc'!$B$401*SUMPRODUCT(NORMDIST('Risk Calc'!$A$402:$A$431,0,'Range Analysis'!$F$8,FALSE()),NORMDIST(('Range Analysis'!$F$6-'Risk Calc'!$A$402:$A$431)/(B68/2),0,1,TRUE())-NORMDIST((-'Range Analysis'!$F$6-'Risk Calc'!$A$402:$A$431)/(B68/2),0,1,TRUE())))</f>
        <v>0</v>
      </c>
      <c r="F68" s="190">
        <f>MAX(0,$B$9-'Risk Calc'!$B$401*SUMPRODUCT(NORMDIST('Risk Calc'!$A$402:$A$431,0,'Range Analysis'!$F$8,FALSE()),NORMDIST((($F$6-B68*MAX(0,1.04-EXP(0.38*LN(D68)-0.54)))-'Risk Calc'!$A$402:$A$431)/(B68/2),0,1,TRUE())-NORMDIST((-($F$6-B68*MAX(0,1.04-EXP(0.38*LN(D68)-0.54)))-'Risk Calc'!$A$402:$A$431)/(B68/2),0,1,TRUE())))</f>
        <v>0</v>
      </c>
      <c r="G68" s="190">
        <f>MAX(0,$B$9-'Risk Calc'!$B$401*SUMPRODUCT(NORMDIST('Risk Calc'!$A$402:$A$431,0,'Range Analysis'!$F$8,FALSE()),NORMDIST((($F$6-0.98*B68)-'Risk Calc'!$A$402:$A$431)/(B68/2),0,1,TRUE())-NORMDIST((-($F$6-0.98*B68)-'Risk Calc'!$A$402:$A$431)/(B68/2),0,1,TRUE())))</f>
        <v>2.0181222713933078E-3</v>
      </c>
      <c r="H68" s="131">
        <f t="shared" si="18"/>
        <v>0</v>
      </c>
      <c r="I68" s="131">
        <f t="shared" si="19"/>
        <v>0</v>
      </c>
      <c r="J68" s="131">
        <f t="shared" si="20"/>
        <v>117.72379916460963</v>
      </c>
      <c r="K68" s="131">
        <f t="shared" si="21"/>
        <v>2000</v>
      </c>
      <c r="L68" s="131">
        <f t="shared" si="22"/>
        <v>2000</v>
      </c>
      <c r="M68" s="131">
        <f t="shared" si="23"/>
        <v>2117.7237991646098</v>
      </c>
      <c r="N68" s="131">
        <f t="shared" si="24"/>
        <v>3839.8324736287359</v>
      </c>
      <c r="O68" s="131">
        <f t="shared" si="25"/>
        <v>99.352634048486848</v>
      </c>
    </row>
    <row r="69" spans="1:15" ht="15" customHeight="1" x14ac:dyDescent="0.25"/>
    <row r="70" spans="1:15" ht="15" customHeight="1" x14ac:dyDescent="0.25">
      <c r="A70" s="238" t="str">
        <f>"* Total = Rework + $"&amp;TEXT(Dashboard!B21,"#,##0")&amp;" cal (1 cell). Swap cost excluded to isolate measurement capability impact."</f>
        <v>* Total = Rework + $2,000 cal (1 cell). Swap cost excluded to isolate measurement capability impact.</v>
      </c>
    </row>
    <row r="71" spans="1:15" ht="15" customHeight="1" x14ac:dyDescent="0.25">
      <c r="A71" s="238" t="str">
        <f>"Savings vs BCM shows cumulative annual savings from upgrading beyond "&amp;TEXT(A59*100,"0.00")&amp;"% CMC. When Savings per 0.01% CMC flattens, further improvement has diminishing returns."</f>
        <v>Savings vs BCM shows cumulative annual savings from upgrading beyond 0.04% CMC. When Savings per 0.01% CMC flattens, further improvement has diminishing returns.</v>
      </c>
    </row>
    <row r="72" spans="1:15" ht="15" customHeight="1" x14ac:dyDescent="0.25"/>
    <row r="73" spans="1:15" ht="15" customHeight="1" x14ac:dyDescent="0.25"/>
    <row r="74" spans="1:15" ht="15" customHeight="1" x14ac:dyDescent="0.25"/>
    <row r="75" spans="1:15" ht="15" customHeight="1" x14ac:dyDescent="0.25">
      <c r="A75" s="272" t="s">
        <v>288</v>
      </c>
      <c r="B75" s="241"/>
      <c r="C75" s="241"/>
      <c r="D75" s="241"/>
      <c r="E75" s="241"/>
      <c r="F75" s="241"/>
      <c r="G75" s="241"/>
      <c r="H75" s="241"/>
    </row>
    <row r="76" spans="1:15" ht="15" customHeight="1" x14ac:dyDescent="0.25">
      <c r="A76" s="155" t="s">
        <v>289</v>
      </c>
    </row>
    <row r="77" spans="1:15" ht="15" customHeight="1" x14ac:dyDescent="0.25"/>
    <row r="78" spans="1:15" ht="15" customHeight="1" x14ac:dyDescent="0.25">
      <c r="A78" s="273" t="s">
        <v>130</v>
      </c>
      <c r="B78" s="273" t="s">
        <v>290</v>
      </c>
      <c r="C78" s="273"/>
      <c r="D78" s="273" t="s">
        <v>291</v>
      </c>
      <c r="E78" s="273" t="s">
        <v>292</v>
      </c>
      <c r="F78" s="273" t="s">
        <v>293</v>
      </c>
      <c r="G78" s="273" t="s">
        <v>203</v>
      </c>
      <c r="H78" s="273" t="s">
        <v>294</v>
      </c>
      <c r="I78" s="273" t="s">
        <v>207</v>
      </c>
      <c r="J78" s="273" t="s">
        <v>206</v>
      </c>
      <c r="K78" s="273" t="s">
        <v>295</v>
      </c>
    </row>
    <row r="79" spans="1:15" ht="15" customHeight="1" x14ac:dyDescent="0.25">
      <c r="A79" t="str">
        <f t="shared" ref="A79:A85" si="26">A24</f>
        <v>BCM</v>
      </c>
      <c r="B79" s="255">
        <f t="shared" ref="B79:B85" si="27">F24</f>
        <v>5.0000000000000001E-4</v>
      </c>
      <c r="C79" s="255"/>
      <c r="D79" s="255">
        <f t="shared" ref="D79:D85" si="28">I24</f>
        <v>5.9999999999999995E-4</v>
      </c>
      <c r="E79" s="255">
        <f t="shared" ref="E79:E85" si="29">AD24</f>
        <v>2.5000000000000001E-4</v>
      </c>
      <c r="F79" s="256" t="str">
        <f t="shared" ref="F79:F85" si="30">IF(AE24&gt;=$B$5,"N/V",AE24)</f>
        <v>N/V</v>
      </c>
      <c r="G79">
        <f t="shared" ref="G79:H85" si="31">AF24</f>
        <v>1</v>
      </c>
      <c r="H79">
        <f t="shared" si="31"/>
        <v>0</v>
      </c>
      <c r="I79" s="131">
        <f>AF24*Dashboard!$B$21</f>
        <v>2000</v>
      </c>
      <c r="J79" s="131">
        <f>AG24*($B$12/60)*Dashboard!$B$7*$B$10</f>
        <v>0</v>
      </c>
      <c r="K79" s="131">
        <f t="shared" ref="K79:K85" si="32">I79+J79</f>
        <v>2000</v>
      </c>
    </row>
    <row r="80" spans="1:15" ht="15" customHeight="1" x14ac:dyDescent="0.25">
      <c r="A80" t="str">
        <f t="shared" si="26"/>
        <v>PCM</v>
      </c>
      <c r="B80" s="255">
        <f t="shared" si="27"/>
        <v>3.3E-4</v>
      </c>
      <c r="C80" s="255"/>
      <c r="D80" s="255">
        <f t="shared" si="28"/>
        <v>2.9999999999999997E-4</v>
      </c>
      <c r="E80" s="255">
        <f t="shared" si="29"/>
        <v>2.5000000000000001E-4</v>
      </c>
      <c r="F80" s="256" t="str">
        <f t="shared" si="30"/>
        <v>N/V</v>
      </c>
      <c r="G80">
        <f t="shared" si="31"/>
        <v>1</v>
      </c>
      <c r="H80">
        <f t="shared" si="31"/>
        <v>0</v>
      </c>
      <c r="I80" s="131">
        <f>AF25*Dashboard!$B$21</f>
        <v>2000</v>
      </c>
      <c r="J80" s="131">
        <f>AG25*($B$12/60)*Dashboard!$B$7*$B$10</f>
        <v>0</v>
      </c>
      <c r="K80" s="131">
        <f t="shared" si="32"/>
        <v>2000</v>
      </c>
    </row>
    <row r="81" spans="1:11" ht="15" customHeight="1" x14ac:dyDescent="0.25">
      <c r="A81" t="str">
        <f t="shared" si="26"/>
        <v>UCM Manual</v>
      </c>
      <c r="B81" s="255">
        <f t="shared" si="27"/>
        <v>2.9999999999999997E-4</v>
      </c>
      <c r="C81" s="255"/>
      <c r="D81" s="255">
        <f t="shared" si="28"/>
        <v>2.9999999999999997E-4</v>
      </c>
      <c r="E81" s="255">
        <f t="shared" si="29"/>
        <v>2.5000000000000001E-4</v>
      </c>
      <c r="F81" s="256" t="str">
        <f t="shared" si="30"/>
        <v>N/V</v>
      </c>
      <c r="G81">
        <f t="shared" si="31"/>
        <v>1</v>
      </c>
      <c r="H81">
        <f t="shared" si="31"/>
        <v>0</v>
      </c>
      <c r="I81" s="131">
        <f>AF26*Dashboard!$B$21</f>
        <v>2000</v>
      </c>
      <c r="J81" s="131">
        <f>AG26*($B$12/60)*Dashboard!$B$7*$B$10</f>
        <v>0</v>
      </c>
      <c r="K81" s="131">
        <f t="shared" si="32"/>
        <v>2000</v>
      </c>
    </row>
    <row r="82" spans="1:11" ht="15" customHeight="1" x14ac:dyDescent="0.25">
      <c r="A82" t="str">
        <f t="shared" si="26"/>
        <v>UCM Automated</v>
      </c>
      <c r="B82" s="255">
        <f t="shared" si="27"/>
        <v>2.0000000000000001E-4</v>
      </c>
      <c r="C82" s="255"/>
      <c r="D82" s="255">
        <f t="shared" si="28"/>
        <v>2.5000000000000001E-4</v>
      </c>
      <c r="E82" s="255">
        <f t="shared" si="29"/>
        <v>2.5000000000000001E-4</v>
      </c>
      <c r="F82" s="256">
        <f t="shared" si="30"/>
        <v>499.99999999999989</v>
      </c>
      <c r="G82">
        <f t="shared" si="31"/>
        <v>1</v>
      </c>
      <c r="H82">
        <f t="shared" si="31"/>
        <v>0</v>
      </c>
      <c r="I82" s="131">
        <f>AF27*Dashboard!$B$21</f>
        <v>2000</v>
      </c>
      <c r="J82" s="131">
        <f>AG27*($B$12/60)*Dashboard!$B$7*$B$10</f>
        <v>0</v>
      </c>
      <c r="K82" s="131">
        <f t="shared" si="32"/>
        <v>2000</v>
      </c>
    </row>
    <row r="83" spans="1:11" ht="15" customHeight="1" x14ac:dyDescent="0.25">
      <c r="A83" s="274" t="str">
        <f t="shared" si="26"/>
        <v>Deadweight</v>
      </c>
      <c r="B83" s="255">
        <f t="shared" si="27"/>
        <v>2.0000000000000002E-5</v>
      </c>
      <c r="C83" s="255"/>
      <c r="D83" s="275">
        <f t="shared" si="28"/>
        <v>2.0000000000000002E-5</v>
      </c>
      <c r="E83" s="255">
        <f t="shared" si="29"/>
        <v>0</v>
      </c>
      <c r="F83" s="256">
        <f t="shared" si="30"/>
        <v>0</v>
      </c>
      <c r="G83">
        <f t="shared" si="31"/>
        <v>0</v>
      </c>
      <c r="H83">
        <f t="shared" si="31"/>
        <v>0</v>
      </c>
      <c r="I83" s="131">
        <f>AF28*Dashboard!$B$21</f>
        <v>0</v>
      </c>
      <c r="J83" s="131">
        <f>AG28*($B$12/60)*Dashboard!$B$7*$B$10</f>
        <v>0</v>
      </c>
      <c r="K83" s="131">
        <f t="shared" si="32"/>
        <v>0</v>
      </c>
    </row>
    <row r="84" spans="1:11" ht="15" customHeight="1" x14ac:dyDescent="0.25">
      <c r="A84" s="164" t="str">
        <f t="shared" si="26"/>
        <v>Competitor</v>
      </c>
      <c r="B84" s="255">
        <f t="shared" si="27"/>
        <v>5.0000000000000001E-4</v>
      </c>
      <c r="C84" s="255"/>
      <c r="D84" s="275">
        <f t="shared" si="28"/>
        <v>1.1999999999999999E-3</v>
      </c>
      <c r="E84" s="255">
        <f t="shared" si="29"/>
        <v>2.5000000000000001E-4</v>
      </c>
      <c r="F84" s="256" t="str">
        <f t="shared" si="30"/>
        <v>N/V</v>
      </c>
      <c r="G84">
        <f t="shared" si="31"/>
        <v>1</v>
      </c>
      <c r="H84">
        <f t="shared" si="31"/>
        <v>0</v>
      </c>
      <c r="I84" s="131">
        <f>AF29*Dashboard!$B$21</f>
        <v>2000</v>
      </c>
      <c r="J84" s="131">
        <f>AG29*($B$12/60)*Dashboard!$B$7*$B$10</f>
        <v>0</v>
      </c>
      <c r="K84" s="131">
        <f t="shared" si="32"/>
        <v>2000</v>
      </c>
    </row>
    <row r="85" spans="1:11" ht="15" customHeight="1" x14ac:dyDescent="0.25">
      <c r="A85" t="str">
        <f t="shared" si="26"/>
        <v>Competitor 2</v>
      </c>
      <c r="B85" s="255">
        <f t="shared" si="27"/>
        <v>5.9999999999999995E-4</v>
      </c>
      <c r="C85" s="255"/>
      <c r="D85" s="255">
        <f t="shared" si="28"/>
        <v>1.5E-3</v>
      </c>
      <c r="E85" s="255">
        <f t="shared" si="29"/>
        <v>2.5000000000000001E-4</v>
      </c>
      <c r="F85" s="256" t="str">
        <f t="shared" si="30"/>
        <v>N/V</v>
      </c>
      <c r="G85">
        <f t="shared" si="31"/>
        <v>1</v>
      </c>
      <c r="H85">
        <f t="shared" si="31"/>
        <v>0</v>
      </c>
      <c r="I85" s="131">
        <f>AF30*Dashboard!$B$21</f>
        <v>2000</v>
      </c>
      <c r="J85" s="131">
        <f>AG30*($B$12/60)*Dashboard!$B$7*$B$10</f>
        <v>0</v>
      </c>
      <c r="K85" s="131">
        <f t="shared" si="32"/>
        <v>2000</v>
      </c>
    </row>
    <row r="86" spans="1:11" ht="15" customHeight="1" x14ac:dyDescent="0.25"/>
    <row r="87" spans="1:11" ht="15" customHeight="1" x14ac:dyDescent="0.25">
      <c r="A87" s="155" t="s">
        <v>296</v>
      </c>
    </row>
    <row r="88" spans="1:11" ht="15" customHeight="1" x14ac:dyDescent="0.25">
      <c r="A88" s="155" t="s">
        <v>297</v>
      </c>
    </row>
    <row r="89" spans="1:11" ht="15" customHeight="1" x14ac:dyDescent="0.25"/>
    <row r="90" spans="1:11" ht="15" customHeight="1" x14ac:dyDescent="0.25"/>
    <row r="91" spans="1:11" ht="15" customHeight="1" x14ac:dyDescent="0.25"/>
    <row r="92" spans="1:11" ht="15" customHeight="1" x14ac:dyDescent="0.25"/>
    <row r="93" spans="1:11" ht="15" customHeight="1" x14ac:dyDescent="0.25"/>
    <row r="94" spans="1:11" ht="15" customHeight="1" x14ac:dyDescent="0.25"/>
    <row r="95" spans="1:11" ht="15" customHeight="1" x14ac:dyDescent="0.25"/>
    <row r="96" spans="1:11" ht="15" customHeight="1" x14ac:dyDescent="0.25"/>
    <row r="97" spans="1:7" ht="15" customHeight="1" x14ac:dyDescent="0.25"/>
    <row r="98" spans="1:7" ht="15" customHeight="1" x14ac:dyDescent="0.25"/>
    <row r="99" spans="1:7" ht="15" customHeight="1" x14ac:dyDescent="0.25"/>
    <row r="100" spans="1:7" ht="15" customHeight="1" x14ac:dyDescent="0.25"/>
    <row r="101" spans="1:7" ht="15" customHeight="1" x14ac:dyDescent="0.25"/>
    <row r="102" spans="1:7" ht="15" customHeight="1" x14ac:dyDescent="0.25"/>
    <row r="103" spans="1:7" ht="15" customHeight="1" x14ac:dyDescent="0.25"/>
    <row r="104" spans="1:7" ht="15" customHeight="1" x14ac:dyDescent="0.25">
      <c r="A104" s="270" t="s">
        <v>298</v>
      </c>
    </row>
    <row r="105" spans="1:7" ht="15" customHeight="1" x14ac:dyDescent="0.25">
      <c r="A105" s="276" t="s">
        <v>299</v>
      </c>
    </row>
    <row r="106" spans="1:7" ht="36" customHeight="1" x14ac:dyDescent="0.25">
      <c r="A106" s="202" t="s">
        <v>39</v>
      </c>
      <c r="B106" s="202" t="s">
        <v>300</v>
      </c>
      <c r="C106" s="202"/>
      <c r="D106" s="202" t="s">
        <v>301</v>
      </c>
      <c r="E106" s="202" t="s">
        <v>302</v>
      </c>
      <c r="F106" s="202" t="s">
        <v>303</v>
      </c>
      <c r="G106" s="202" t="s">
        <v>304</v>
      </c>
    </row>
    <row r="107" spans="1:7" ht="15" customHeight="1" x14ac:dyDescent="0.25">
      <c r="A107" s="277">
        <v>0.7</v>
      </c>
      <c r="B107" s="234">
        <f t="shared" ref="B107:B112" si="33">$F$6/NORMSINV((1+A107)/2)</f>
        <v>0.48242367051124024</v>
      </c>
      <c r="C107" s="234"/>
      <c r="D107" s="255">
        <f t="shared" ref="D107:D112" si="34">$B$8/($B$6*4)</f>
        <v>4.9999999999999998E-7</v>
      </c>
      <c r="E107" s="131">
        <f>MAX(0,A107-'Risk Calc'!$B$401*SUMPRODUCT(NORMDIST('Risk Calc'!$A$402:$A$431,0,B107,FALSE()),NORMDIST((($F$6-$F$6/3*MAX(0,1.04-EXP(0.38*LN(3)-0.54)))-'Risk Calc'!$A$402:$A$431)/($F$6/3/2),0,1,TRUE())-NORMDIST((-($F$6-$F$6/3*MAX(0,1.04-EXP(0.38*LN(3)-0.54)))-'Risk Calc'!$A$402:$A$431)/($F$6/3/2),0,1,TRUE())))*$B$10*$B$11</f>
        <v>3012.8502145233392</v>
      </c>
      <c r="F107" s="131">
        <f>MAX(0,A107-'Risk Calc'!$B$401*SUMPRODUCT(NORMDIST('Risk Calc'!$A$402:$A$431,0,B107,FALSE()),NORMDIST((($F$6-$F$6/4*MAX(0,1.04-EXP(0.38*LN(4)-0.54)))-'Risk Calc'!$A$402:$A$431)/($F$6/4/2),0,1,TRUE())-NORMDIST((-($F$6-$F$6/4*MAX(0,1.04-EXP(0.38*LN(4)-0.54)))-'Risk Calc'!$A$402:$A$431)/($F$6/4/2),0,1,TRUE())))*$B$10*$B$11</f>
        <v>1720.9600854917546</v>
      </c>
      <c r="G107" s="131">
        <f>MAX(0,A107-'Risk Calc'!$B$401*SUMPRODUCT(NORMDIST('Risk Calc'!$A$402:$A$431,0,B107,FALSE()),NORMDIST((($F$6-$F$6/5*MAX(0,1.04-EXP(0.38*LN(5)-0.54)))-'Risk Calc'!$A$402:$A$431)/($F$6/5/2),0,1,TRUE())-NORMDIST((-($F$6-$F$6/5*MAX(0,1.04-EXP(0.38*LN(5)-0.54)))-'Risk Calc'!$A$402:$A$431)/($F$6/5/2),0,1,TRUE())))*$B$10*$B$11</f>
        <v>1176.4230597395324</v>
      </c>
    </row>
    <row r="108" spans="1:7" ht="15" customHeight="1" x14ac:dyDescent="0.25">
      <c r="A108" s="277">
        <v>0.75</v>
      </c>
      <c r="B108" s="234">
        <f t="shared" si="33"/>
        <v>0.43465055793446666</v>
      </c>
      <c r="C108" s="234"/>
      <c r="D108" s="255">
        <f t="shared" si="34"/>
        <v>4.9999999999999998E-7</v>
      </c>
      <c r="E108" s="131">
        <f>MAX(0,A108-'Risk Calc'!$B$401*SUMPRODUCT(NORMDIST('Risk Calc'!$A$402:$A$431,0,B108,FALSE()),NORMDIST((($F$6-$F$6/3*MAX(0,1.04-EXP(0.38*LN(3)-0.54)))-'Risk Calc'!$A$402:$A$431)/($F$6/3/2),0,1,TRUE())-NORMDIST((-($F$6-$F$6/3*MAX(0,1.04-EXP(0.38*LN(3)-0.54)))-'Risk Calc'!$A$402:$A$431)/($F$6/3/2),0,1,TRUE())))*$B$10*$B$11</f>
        <v>3036.4149944552887</v>
      </c>
      <c r="F108" s="131">
        <f>MAX(0,A108-'Risk Calc'!$B$401*SUMPRODUCT(NORMDIST('Risk Calc'!$A$402:$A$431,0,B108,FALSE()),NORMDIST((($F$6-$F$6/4*MAX(0,1.04-EXP(0.38*LN(4)-0.54)))-'Risk Calc'!$A$402:$A$431)/($F$6/4/2),0,1,TRUE())-NORMDIST((-($F$6-$F$6/4*MAX(0,1.04-EXP(0.38*LN(4)-0.54)))-'Risk Calc'!$A$402:$A$431)/($F$6/4/2),0,1,TRUE())))*$B$10*$B$11</f>
        <v>1720.17773374748</v>
      </c>
      <c r="G108" s="131">
        <f>MAX(0,A108-'Risk Calc'!$B$401*SUMPRODUCT(NORMDIST('Risk Calc'!$A$402:$A$431,0,B108,FALSE()),NORMDIST((($F$6-$F$6/5*MAX(0,1.04-EXP(0.38*LN(5)-0.54)))-'Risk Calc'!$A$402:$A$431)/($F$6/5/2),0,1,TRUE())-NORMDIST((-($F$6-$F$6/5*MAX(0,1.04-EXP(0.38*LN(5)-0.54)))-'Risk Calc'!$A$402:$A$431)/($F$6/5/2),0,1,TRUE())))*$B$10*$B$11</f>
        <v>1170.5175264116583</v>
      </c>
    </row>
    <row r="109" spans="1:7" ht="15" customHeight="1" x14ac:dyDescent="0.25">
      <c r="A109" s="277">
        <v>0.8</v>
      </c>
      <c r="B109" s="234">
        <f t="shared" si="33"/>
        <v>0.39015207303618948</v>
      </c>
      <c r="C109" s="234"/>
      <c r="D109" s="255">
        <f t="shared" si="34"/>
        <v>4.9999999999999998E-7</v>
      </c>
      <c r="E109" s="131">
        <f>MAX(0,A109-'Risk Calc'!$B$401*SUMPRODUCT(NORMDIST('Risk Calc'!$A$402:$A$431,0,B109,FALSE()),NORMDIST((($F$6-$F$6/3*MAX(0,1.04-EXP(0.38*LN(3)-0.54)))-'Risk Calc'!$A$402:$A$431)/($F$6/3/2),0,1,TRUE())-NORMDIST((-($F$6-$F$6/3*MAX(0,1.04-EXP(0.38*LN(3)-0.54)))-'Risk Calc'!$A$402:$A$431)/($F$6/3/2),0,1,TRUE())))*$B$10*$B$11</f>
        <v>2991.3397527060247</v>
      </c>
      <c r="F109" s="131">
        <f>MAX(0,A109-'Risk Calc'!$B$401*SUMPRODUCT(NORMDIST('Risk Calc'!$A$402:$A$431,0,B109,FALSE()),NORMDIST((($F$6-$F$6/4*MAX(0,1.04-EXP(0.38*LN(4)-0.54)))-'Risk Calc'!$A$402:$A$431)/($F$6/4/2),0,1,TRUE())-NORMDIST((-($F$6-$F$6/4*MAX(0,1.04-EXP(0.38*LN(4)-0.54)))-'Risk Calc'!$A$402:$A$431)/($F$6/4/2),0,1,TRUE())))*$B$10*$B$11</f>
        <v>1676.394132250279</v>
      </c>
      <c r="G109" s="131">
        <f>MAX(0,A109-'Risk Calc'!$B$401*SUMPRODUCT(NORMDIST('Risk Calc'!$A$402:$A$431,0,B109,FALSE()),NORMDIST((($F$6-$F$6/5*MAX(0,1.04-EXP(0.38*LN(5)-0.54)))-'Risk Calc'!$A$402:$A$431)/($F$6/5/2),0,1,TRUE())-NORMDIST((-($F$6-$F$6/5*MAX(0,1.04-EXP(0.38*LN(5)-0.54)))-'Risk Calc'!$A$402:$A$431)/($F$6/5/2),0,1,TRUE())))*$B$10*$B$11</f>
        <v>1133.9191442640711</v>
      </c>
    </row>
    <row r="110" spans="1:7" ht="15" customHeight="1" x14ac:dyDescent="0.25">
      <c r="A110" s="277">
        <v>0.85</v>
      </c>
      <c r="B110" s="234">
        <f t="shared" si="33"/>
        <v>0.34733523378550457</v>
      </c>
      <c r="C110" s="234"/>
      <c r="D110" s="255">
        <f t="shared" si="34"/>
        <v>4.9999999999999998E-7</v>
      </c>
      <c r="E110" s="131">
        <f>MAX(0,A110-'Risk Calc'!$B$401*SUMPRODUCT(NORMDIST('Risk Calc'!$A$402:$A$431,0,B110,FALSE()),NORMDIST((($F$6-$F$6/3*MAX(0,1.04-EXP(0.38*LN(3)-0.54)))-'Risk Calc'!$A$402:$A$431)/($F$6/3/2),0,1,TRUE())-NORMDIST((-($F$6-$F$6/3*MAX(0,1.04-EXP(0.38*LN(3)-0.54)))-'Risk Calc'!$A$402:$A$431)/($F$6/3/2),0,1,TRUE())))*$B$10*$B$11</f>
        <v>2850.3373042871704</v>
      </c>
      <c r="F110" s="131">
        <f>MAX(0,A110-'Risk Calc'!$B$401*SUMPRODUCT(NORMDIST('Risk Calc'!$A$402:$A$431,0,B110,FALSE()),NORMDIST((($F$6-$F$6/4*MAX(0,1.04-EXP(0.38*LN(4)-0.54)))-'Risk Calc'!$A$402:$A$431)/($F$6/4/2),0,1,TRUE())-NORMDIST((-($F$6-$F$6/4*MAX(0,1.04-EXP(0.38*LN(4)-0.54)))-'Risk Calc'!$A$402:$A$431)/($F$6/4/2),0,1,TRUE())))*$B$10*$B$11</f>
        <v>1573.4862380996206</v>
      </c>
      <c r="G110" s="131">
        <f>MAX(0,A110-'Risk Calc'!$B$401*SUMPRODUCT(NORMDIST('Risk Calc'!$A$402:$A$431,0,B110,FALSE()),NORMDIST((($F$6-$F$6/5*MAX(0,1.04-EXP(0.38*LN(5)-0.54)))-'Risk Calc'!$A$402:$A$431)/($F$6/5/2),0,1,TRUE())-NORMDIST((-($F$6-$F$6/5*MAX(0,1.04-EXP(0.38*LN(5)-0.54)))-'Risk Calc'!$A$402:$A$431)/($F$6/5/2),0,1,TRUE())))*$B$10*$B$11</f>
        <v>1055.5358157649241</v>
      </c>
    </row>
    <row r="111" spans="1:7" ht="15" customHeight="1" x14ac:dyDescent="0.25">
      <c r="A111" s="277">
        <v>0.9</v>
      </c>
      <c r="B111" s="234">
        <f t="shared" si="33"/>
        <v>0.30397841595588471</v>
      </c>
      <c r="C111" s="234"/>
      <c r="D111" s="255">
        <f t="shared" si="34"/>
        <v>4.9999999999999998E-7</v>
      </c>
      <c r="E111" s="131">
        <f>MAX(0,A111-'Risk Calc'!$B$401*SUMPRODUCT(NORMDIST('Risk Calc'!$A$402:$A$431,0,B111,FALSE()),NORMDIST((($F$6-$F$6/3*MAX(0,1.04-EXP(0.38*LN(3)-0.54)))-'Risk Calc'!$A$402:$A$431)/($F$6/3/2),0,1,TRUE())-NORMDIST((-($F$6-$F$6/3*MAX(0,1.04-EXP(0.38*LN(3)-0.54)))-'Risk Calc'!$A$402:$A$431)/($F$6/3/2),0,1,TRUE())))*$B$10*$B$11</f>
        <v>2562.0807896522642</v>
      </c>
      <c r="F111" s="131">
        <f>MAX(0,A111-'Risk Calc'!$B$401*SUMPRODUCT(NORMDIST('Risk Calc'!$A$402:$A$431,0,B111,FALSE()),NORMDIST((($F$6-$F$6/4*MAX(0,1.04-EXP(0.38*LN(4)-0.54)))-'Risk Calc'!$A$402:$A$431)/($F$6/4/2),0,1,TRUE())-NORMDIST((-($F$6-$F$6/4*MAX(0,1.04-EXP(0.38*LN(4)-0.54)))-'Risk Calc'!$A$402:$A$431)/($F$6/4/2),0,1,TRUE())))*$B$10*$B$11</f>
        <v>1381.8740766348492</v>
      </c>
      <c r="G111" s="131">
        <f>MAX(0,A111-'Risk Calc'!$B$401*SUMPRODUCT(NORMDIST('Risk Calc'!$A$402:$A$431,0,B111,FALSE()),NORMDIST((($F$6-$F$6/5*MAX(0,1.04-EXP(0.38*LN(5)-0.54)))-'Risk Calc'!$A$402:$A$431)/($F$6/5/2),0,1,TRUE())-NORMDIST((-($F$6-$F$6/5*MAX(0,1.04-EXP(0.38*LN(5)-0.54)))-'Risk Calc'!$A$402:$A$431)/($F$6/5/2),0,1,TRUE())))*$B$10*$B$11</f>
        <v>915.32676759411572</v>
      </c>
    </row>
    <row r="112" spans="1:7" ht="15" customHeight="1" x14ac:dyDescent="0.25">
      <c r="A112" s="277">
        <v>0.95</v>
      </c>
      <c r="B112" s="234">
        <f t="shared" si="33"/>
        <v>0.25510672846232701</v>
      </c>
      <c r="C112" s="234"/>
      <c r="D112" s="255">
        <f t="shared" si="34"/>
        <v>4.9999999999999998E-7</v>
      </c>
      <c r="E112" s="131">
        <f>MAX(0,A112-'Risk Calc'!$B$401*SUMPRODUCT(NORMDIST('Risk Calc'!$A$402:$A$431,0,B112,FALSE()),NORMDIST((($F$6-$F$6/3*MAX(0,1.04-EXP(0.38*LN(3)-0.54)))-'Risk Calc'!$A$402:$A$431)/($F$6/3/2),0,1,TRUE())-NORMDIST((-($F$6-$F$6/3*MAX(0,1.04-EXP(0.38*LN(3)-0.54)))-'Risk Calc'!$A$402:$A$431)/($F$6/3/2),0,1,TRUE())))*$B$10*$B$11</f>
        <v>2000.2361057437506</v>
      </c>
      <c r="F112" s="131">
        <f>MAX(0,A112-'Risk Calc'!$B$401*SUMPRODUCT(NORMDIST('Risk Calc'!$A$402:$A$431,0,B112,FALSE()),NORMDIST((($F$6-$F$6/4*MAX(0,1.04-EXP(0.38*LN(4)-0.54)))-'Risk Calc'!$A$402:$A$431)/($F$6/4/2),0,1,TRUE())-NORMDIST((-($F$6-$F$6/4*MAX(0,1.04-EXP(0.38*LN(4)-0.54)))-'Risk Calc'!$A$402:$A$431)/($F$6/4/2),0,1,TRUE())))*$B$10*$B$11</f>
        <v>1031.4512281940949</v>
      </c>
      <c r="G112" s="131">
        <f>MAX(0,A112-'Risk Calc'!$B$401*SUMPRODUCT(NORMDIST('Risk Calc'!$A$402:$A$431,0,B112,FALSE()),NORMDIST((($F$6-$F$6/5*MAX(0,1.04-EXP(0.38*LN(5)-0.54)))-'Risk Calc'!$A$402:$A$431)/($F$6/5/2),0,1,TRUE())-NORMDIST((-($F$6-$F$6/5*MAX(0,1.04-EXP(0.38*LN(5)-0.54)))-'Risk Calc'!$A$402:$A$431)/($F$6/5/2),0,1,TRUE())))*$B$10*$B$11</f>
        <v>666.87523817919498</v>
      </c>
    </row>
    <row r="113" spans="1:8" ht="15" customHeight="1" x14ac:dyDescent="0.25"/>
    <row r="114" spans="1:8" ht="15" customHeight="1" x14ac:dyDescent="0.25">
      <c r="A114" s="276" t="s">
        <v>305</v>
      </c>
    </row>
    <row r="115" spans="1:8" ht="15" customHeight="1" x14ac:dyDescent="0.25"/>
    <row r="116" spans="1:8" ht="15" customHeight="1" x14ac:dyDescent="0.25"/>
    <row r="117" spans="1:8" ht="15.75" customHeight="1" x14ac:dyDescent="0.25">
      <c r="A117" s="272" t="s">
        <v>306</v>
      </c>
      <c r="B117" s="241"/>
      <c r="C117" s="241"/>
      <c r="D117" s="241"/>
      <c r="E117" s="241"/>
      <c r="F117" s="241"/>
      <c r="G117" s="241"/>
      <c r="H117" s="241"/>
    </row>
    <row r="118" spans="1:8" ht="15" customHeight="1" x14ac:dyDescent="0.25">
      <c r="A118" s="155" t="s">
        <v>307</v>
      </c>
    </row>
    <row r="119" spans="1:8" ht="15" customHeight="1" x14ac:dyDescent="0.25"/>
    <row r="120" spans="1:8" ht="15" customHeight="1" x14ac:dyDescent="0.25">
      <c r="A120" s="278" t="s">
        <v>308</v>
      </c>
    </row>
    <row r="121" spans="1:8" ht="15" customHeight="1" x14ac:dyDescent="0.25">
      <c r="A121" t="s">
        <v>229</v>
      </c>
      <c r="B121" s="256">
        <f>$B$5</f>
        <v>2000</v>
      </c>
      <c r="C121" s="256"/>
    </row>
    <row r="122" spans="1:8" ht="15" customHeight="1" x14ac:dyDescent="0.25">
      <c r="A122" t="s">
        <v>231</v>
      </c>
      <c r="B122" s="256">
        <f>$B$6</f>
        <v>500</v>
      </c>
      <c r="C122" s="256"/>
    </row>
    <row r="123" spans="1:8" ht="15" customHeight="1" x14ac:dyDescent="0.25">
      <c r="A123" t="s">
        <v>309</v>
      </c>
      <c r="B123" s="428">
        <v>4</v>
      </c>
      <c r="C123" s="429"/>
    </row>
    <row r="124" spans="1:8" ht="15" customHeight="1" x14ac:dyDescent="0.25">
      <c r="A124" t="s">
        <v>310</v>
      </c>
      <c r="B124" s="430">
        <v>0.05</v>
      </c>
      <c r="C124" s="431"/>
    </row>
    <row r="125" spans="1:8" ht="15" customHeight="1" x14ac:dyDescent="0.25">
      <c r="A125" t="s">
        <v>42</v>
      </c>
      <c r="B125" s="128">
        <f>$B$7</f>
        <v>1E-3</v>
      </c>
      <c r="C125" s="128"/>
    </row>
    <row r="126" spans="1:8" ht="15" customHeight="1" x14ac:dyDescent="0.25"/>
    <row r="127" spans="1:8" ht="15" customHeight="1" x14ac:dyDescent="0.25">
      <c r="A127" s="278" t="s">
        <v>311</v>
      </c>
    </row>
    <row r="128" spans="1:8" ht="15" customHeight="1" x14ac:dyDescent="0.25">
      <c r="A128" t="s">
        <v>312</v>
      </c>
      <c r="B128" s="255">
        <f>IF(B123=0,0,B125/B123)</f>
        <v>2.5000000000000001E-4</v>
      </c>
      <c r="C128" s="255"/>
    </row>
    <row r="129" spans="1:6" ht="15" customHeight="1" x14ac:dyDescent="0.25">
      <c r="A129" t="s">
        <v>313</v>
      </c>
      <c r="B129">
        <f>IF(B121*B124&lt;=B122,1,MAX(1,-INT(-LN(B122/B121)/LN(B124))))</f>
        <v>1</v>
      </c>
    </row>
    <row r="130" spans="1:6" ht="15" customHeight="1" x14ac:dyDescent="0.25">
      <c r="A130" t="s">
        <v>314</v>
      </c>
      <c r="B130">
        <f>MAX(0,B129-1)</f>
        <v>0</v>
      </c>
    </row>
    <row r="131" spans="1:6" ht="15" customHeight="1" x14ac:dyDescent="0.25">
      <c r="A131" t="s">
        <v>315</v>
      </c>
      <c r="B131" s="131">
        <f>MAX(0,B129-1)*($B$12/60)*Dashboard!$B$7*$B$10</f>
        <v>0</v>
      </c>
      <c r="C131" s="131"/>
    </row>
    <row r="132" spans="1:6" ht="15" customHeight="1" x14ac:dyDescent="0.25"/>
    <row r="133" spans="1:6" ht="15" customHeight="1" x14ac:dyDescent="0.25">
      <c r="A133" s="278" t="s">
        <v>316</v>
      </c>
    </row>
    <row r="134" spans="1:6" ht="15" customHeight="1" x14ac:dyDescent="0.25">
      <c r="A134" s="279" t="s">
        <v>317</v>
      </c>
      <c r="B134" s="279" t="s">
        <v>318</v>
      </c>
      <c r="C134" s="279"/>
      <c r="D134" s="279" t="s">
        <v>319</v>
      </c>
      <c r="E134" s="279" t="s">
        <v>320</v>
      </c>
      <c r="F134" s="279" t="s">
        <v>321</v>
      </c>
    </row>
    <row r="135" spans="1:6" ht="15" customHeight="1" x14ac:dyDescent="0.25">
      <c r="A135" s="280">
        <v>1</v>
      </c>
      <c r="B135" s="281">
        <f>IF(1&lt;=B129,B121,"")</f>
        <v>2000</v>
      </c>
      <c r="C135" s="281"/>
      <c r="D135" s="281">
        <f>IF(ISNUMBER(B135),MAX(B122,B135*B124),"")</f>
        <v>500</v>
      </c>
      <c r="E135" s="183">
        <f>IF(ISNUMBER(B135),B125/B128,"")</f>
        <v>4</v>
      </c>
      <c r="F135" s="181" t="str">
        <f>IF(ISNUMBER(D135),IF(D135&lt;=B122,"✓ Yes","No — need next cell"),"")</f>
        <v>✓ Yes</v>
      </c>
    </row>
    <row r="136" spans="1:6" ht="15" customHeight="1" x14ac:dyDescent="0.25">
      <c r="A136" s="282">
        <v>2</v>
      </c>
      <c r="B136" s="283" t="str">
        <f>IF(2&lt;=B129,D135,"")</f>
        <v/>
      </c>
      <c r="C136" s="283"/>
      <c r="D136" s="283" t="str">
        <f>IF(ISNUMBER(B136),MAX(B122,B136*B124),"")</f>
        <v/>
      </c>
      <c r="E136" s="192" t="str">
        <f>IF(ISNUMBER(B136),B125/B128,"")</f>
        <v/>
      </c>
      <c r="F136" s="3" t="str">
        <f>IF(ISNUMBER(D136),IF(D136&lt;=B122,"✓ Yes","No — need next cell"),"")</f>
        <v/>
      </c>
    </row>
    <row r="137" spans="1:6" ht="15" customHeight="1" x14ac:dyDescent="0.25">
      <c r="A137" s="280">
        <v>3</v>
      </c>
      <c r="B137" s="281" t="str">
        <f>IF(3&lt;=B129,D136,"")</f>
        <v/>
      </c>
      <c r="C137" s="281"/>
      <c r="D137" s="281" t="str">
        <f>IF(ISNUMBER(B137),MAX(B122,B137*B124),"")</f>
        <v/>
      </c>
      <c r="E137" s="183" t="str">
        <f>IF(ISNUMBER(B137),B125/B128,"")</f>
        <v/>
      </c>
      <c r="F137" s="181" t="str">
        <f>IF(ISNUMBER(D137),IF(D137&lt;=B122,"✓ Yes","No — need next cell"),"")</f>
        <v/>
      </c>
    </row>
    <row r="138" spans="1:6" ht="15" customHeight="1" x14ac:dyDescent="0.25">
      <c r="A138" s="282">
        <v>4</v>
      </c>
      <c r="B138" s="283" t="str">
        <f>IF(4&lt;=B129,D137,"")</f>
        <v/>
      </c>
      <c r="C138" s="283"/>
      <c r="D138" s="283" t="str">
        <f>IF(ISNUMBER(B138),MAX(B122,B138*B124),"")</f>
        <v/>
      </c>
      <c r="E138" s="192" t="str">
        <f>IF(ISNUMBER(B138),B125/B128,"")</f>
        <v/>
      </c>
      <c r="F138" s="3" t="str">
        <f>IF(ISNUMBER(D138),IF(D138&lt;=B122,"✓ Yes","No — need next cell"),"")</f>
        <v/>
      </c>
    </row>
    <row r="139" spans="1:6" ht="15" customHeight="1" x14ac:dyDescent="0.25">
      <c r="A139" s="280">
        <v>5</v>
      </c>
      <c r="B139" s="281" t="str">
        <f>IF(5&lt;=B129,D138,"")</f>
        <v/>
      </c>
      <c r="C139" s="281"/>
      <c r="D139" s="281" t="str">
        <f>IF(ISNUMBER(B139),MAX(B122,B139*B124),"")</f>
        <v/>
      </c>
      <c r="E139" s="183" t="str">
        <f>IF(ISNUMBER(B139),B125/B128,"")</f>
        <v/>
      </c>
      <c r="F139" s="181" t="str">
        <f>IF(ISNUMBER(D139),IF(D139&lt;=B122,"✓ Yes","No — need next cell"),"")</f>
        <v/>
      </c>
    </row>
    <row r="140" spans="1:6" ht="15" customHeight="1" x14ac:dyDescent="0.25">
      <c r="A140" s="282">
        <v>6</v>
      </c>
      <c r="B140" s="283" t="str">
        <f>IF(6&lt;=B129,D139,"")</f>
        <v/>
      </c>
      <c r="C140" s="283"/>
      <c r="D140" s="283" t="str">
        <f>IF(ISNUMBER(B140),MAX(B122,B140*B124),"")</f>
        <v/>
      </c>
      <c r="E140" s="192" t="str">
        <f>IF(ISNUMBER(B140),B125/B128,"")</f>
        <v/>
      </c>
      <c r="F140" s="3" t="str">
        <f>IF(ISNUMBER(D140),IF(D140&lt;=B122,"✓ Yes","No — need next cell"),"")</f>
        <v/>
      </c>
    </row>
    <row r="141" spans="1:6" ht="15" customHeight="1" x14ac:dyDescent="0.25"/>
    <row r="142" spans="1:6" ht="15" customHeight="1" x14ac:dyDescent="0.25">
      <c r="A142" s="164" t="s">
        <v>322</v>
      </c>
    </row>
    <row r="143" spans="1:6" ht="15" customHeight="1" x14ac:dyDescent="0.25">
      <c r="A143" s="155" t="s">
        <v>323</v>
      </c>
    </row>
    <row r="144" spans="1:6" ht="15" customHeight="1" x14ac:dyDescent="0.25">
      <c r="A144" s="155" t="s">
        <v>324</v>
      </c>
    </row>
    <row r="145" spans="1:7" ht="15" customHeight="1" x14ac:dyDescent="0.25">
      <c r="A145" s="155" t="s">
        <v>325</v>
      </c>
    </row>
    <row r="146" spans="1:7" ht="15" customHeight="1" x14ac:dyDescent="0.25">
      <c r="A146" s="155" t="s">
        <v>326</v>
      </c>
    </row>
    <row r="147" spans="1:7" ht="15" customHeight="1" x14ac:dyDescent="0.25">
      <c r="A147" s="155" t="s">
        <v>327</v>
      </c>
    </row>
    <row r="148" spans="1:7" ht="15" customHeight="1" x14ac:dyDescent="0.25"/>
    <row r="149" spans="1:7" ht="15" customHeight="1" x14ac:dyDescent="0.25"/>
    <row r="150" spans="1:7" ht="15" customHeight="1" x14ac:dyDescent="0.25">
      <c r="A150" s="284" t="s">
        <v>298</v>
      </c>
      <c r="B150" s="241"/>
      <c r="C150" s="241"/>
      <c r="D150" s="241"/>
      <c r="E150" s="241"/>
      <c r="F150" s="241"/>
      <c r="G150" s="241"/>
    </row>
    <row r="151" spans="1:7" ht="15" customHeight="1" x14ac:dyDescent="0.25">
      <c r="A151" s="155" t="s">
        <v>328</v>
      </c>
    </row>
    <row r="152" spans="1:7" ht="30" customHeight="1" x14ac:dyDescent="0.25">
      <c r="A152" s="271" t="s">
        <v>39</v>
      </c>
      <c r="B152" s="271" t="s">
        <v>300</v>
      </c>
      <c r="C152" s="271"/>
      <c r="D152" s="271" t="s">
        <v>329</v>
      </c>
      <c r="E152" s="271" t="s">
        <v>330</v>
      </c>
      <c r="F152" s="271" t="s">
        <v>331</v>
      </c>
      <c r="G152" s="271" t="s">
        <v>332</v>
      </c>
    </row>
    <row r="153" spans="1:7" ht="15" customHeight="1" x14ac:dyDescent="0.25">
      <c r="A153" s="277">
        <v>0.7</v>
      </c>
      <c r="B153" s="234">
        <f t="shared" ref="B153:B158" si="35">$F$6/NORMSINV((1+A153)/2)</f>
        <v>0.48242367051124024</v>
      </c>
      <c r="C153" s="234"/>
      <c r="D153" s="255">
        <f t="shared" ref="D153:D158" si="36">$B$8/($B$6*4)</f>
        <v>4.9999999999999998E-7</v>
      </c>
      <c r="E153" s="131">
        <f>MAX(0,A153-'Risk Calc'!$B$401*SUMPRODUCT(NORMDIST('Risk Calc'!$A$402:$A$431,0,B153,FALSE()),NORMDIST((($F$6-$F$6/3*MAX(0,1.04-EXP(0.38*LN(3)-0.54)))-'Risk Calc'!$A$402:$A$431)/($F$6/3/2),0,1,TRUE())-NORMDIST((-($F$6-$F$6/3*MAX(0,1.04-EXP(0.38*LN(3)-0.54)))-'Risk Calc'!$A$402:$A$431)/($F$6/3/2),0,1,TRUE())))*$B$10*$B$11</f>
        <v>3012.8502145233392</v>
      </c>
      <c r="F153" s="131">
        <f>MAX(0,A153-'Risk Calc'!$B$401*SUMPRODUCT(NORMDIST('Risk Calc'!$A$402:$A$431,0,B153,FALSE()),NORMDIST((($F$6-$F$6/4*MAX(0,1.04-EXP(0.38*LN(4)-0.54)))-'Risk Calc'!$A$402:$A$431)/($F$6/4/2),0,1,TRUE())-NORMDIST((-($F$6-$F$6/4*MAX(0,1.04-EXP(0.38*LN(4)-0.54)))-'Risk Calc'!$A$402:$A$431)/($F$6/4/2),0,1,TRUE())))*$B$10*$B$11</f>
        <v>1720.9600854917546</v>
      </c>
      <c r="G153" s="131">
        <f>MAX(0,A153-'Risk Calc'!$B$401*SUMPRODUCT(NORMDIST('Risk Calc'!$A$402:$A$431,0,B153,FALSE()),NORMDIST((($F$6-$F$6/5*MAX(0,1.04-EXP(0.38*LN(5)-0.54)))-'Risk Calc'!$A$402:$A$431)/($F$6/5/2),0,1,TRUE())-NORMDIST((-($F$6-$F$6/5*MAX(0,1.04-EXP(0.38*LN(5)-0.54)))-'Risk Calc'!$A$402:$A$431)/($F$6/5/2),0,1,TRUE())))*$B$10*$B$11</f>
        <v>1176.4230597395324</v>
      </c>
    </row>
    <row r="154" spans="1:7" ht="15" customHeight="1" x14ac:dyDescent="0.25">
      <c r="A154" s="277">
        <v>0.75</v>
      </c>
      <c r="B154" s="234">
        <f t="shared" si="35"/>
        <v>0.43465055793446666</v>
      </c>
      <c r="C154" s="234"/>
      <c r="D154" s="255">
        <f t="shared" si="36"/>
        <v>4.9999999999999998E-7</v>
      </c>
      <c r="E154" s="131">
        <f>MAX(0,A154-'Risk Calc'!$B$401*SUMPRODUCT(NORMDIST('Risk Calc'!$A$402:$A$431,0,B154,FALSE()),NORMDIST((($F$6-$F$6/3*MAX(0,1.04-EXP(0.38*LN(3)-0.54)))-'Risk Calc'!$A$402:$A$431)/($F$6/3/2),0,1,TRUE())-NORMDIST((-($F$6-$F$6/3*MAX(0,1.04-EXP(0.38*LN(3)-0.54)))-'Risk Calc'!$A$402:$A$431)/($F$6/3/2),0,1,TRUE())))*$B$10*$B$11</f>
        <v>3036.4149944552887</v>
      </c>
      <c r="F154" s="131">
        <f>MAX(0,A154-'Risk Calc'!$B$401*SUMPRODUCT(NORMDIST('Risk Calc'!$A$402:$A$431,0,B154,FALSE()),NORMDIST((($F$6-$F$6/4*MAX(0,1.04-EXP(0.38*LN(4)-0.54)))-'Risk Calc'!$A$402:$A$431)/($F$6/4/2),0,1,TRUE())-NORMDIST((-($F$6-$F$6/4*MAX(0,1.04-EXP(0.38*LN(4)-0.54)))-'Risk Calc'!$A$402:$A$431)/($F$6/4/2),0,1,TRUE())))*$B$10*$B$11</f>
        <v>1720.17773374748</v>
      </c>
      <c r="G154" s="131">
        <f>MAX(0,A154-'Risk Calc'!$B$401*SUMPRODUCT(NORMDIST('Risk Calc'!$A$402:$A$431,0,B154,FALSE()),NORMDIST((($F$6-$F$6/5*MAX(0,1.04-EXP(0.38*LN(5)-0.54)))-'Risk Calc'!$A$402:$A$431)/($F$6/5/2),0,1,TRUE())-NORMDIST((-($F$6-$F$6/5*MAX(0,1.04-EXP(0.38*LN(5)-0.54)))-'Risk Calc'!$A$402:$A$431)/($F$6/5/2),0,1,TRUE())))*$B$10*$B$11</f>
        <v>1170.5175264116583</v>
      </c>
    </row>
    <row r="155" spans="1:7" ht="15" customHeight="1" x14ac:dyDescent="0.25">
      <c r="A155" s="277">
        <v>0.8</v>
      </c>
      <c r="B155" s="234">
        <f t="shared" si="35"/>
        <v>0.39015207303618948</v>
      </c>
      <c r="C155" s="234"/>
      <c r="D155" s="255">
        <f t="shared" si="36"/>
        <v>4.9999999999999998E-7</v>
      </c>
      <c r="E155" s="131">
        <f>MAX(0,A155-'Risk Calc'!$B$401*SUMPRODUCT(NORMDIST('Risk Calc'!$A$402:$A$431,0,B155,FALSE()),NORMDIST((($F$6-$F$6/3*MAX(0,1.04-EXP(0.38*LN(3)-0.54)))-'Risk Calc'!$A$402:$A$431)/($F$6/3/2),0,1,TRUE())-NORMDIST((-($F$6-$F$6/3*MAX(0,1.04-EXP(0.38*LN(3)-0.54)))-'Risk Calc'!$A$402:$A$431)/($F$6/3/2),0,1,TRUE())))*$B$10*$B$11</f>
        <v>2991.3397527060247</v>
      </c>
      <c r="F155" s="131">
        <f>MAX(0,A155-'Risk Calc'!$B$401*SUMPRODUCT(NORMDIST('Risk Calc'!$A$402:$A$431,0,B155,FALSE()),NORMDIST((($F$6-$F$6/4*MAX(0,1.04-EXP(0.38*LN(4)-0.54)))-'Risk Calc'!$A$402:$A$431)/($F$6/4/2),0,1,TRUE())-NORMDIST((-($F$6-$F$6/4*MAX(0,1.04-EXP(0.38*LN(4)-0.54)))-'Risk Calc'!$A$402:$A$431)/($F$6/4/2),0,1,TRUE())))*$B$10*$B$11</f>
        <v>1676.394132250279</v>
      </c>
      <c r="G155" s="131">
        <f>MAX(0,A155-'Risk Calc'!$B$401*SUMPRODUCT(NORMDIST('Risk Calc'!$A$402:$A$431,0,B155,FALSE()),NORMDIST((($F$6-$F$6/5*MAX(0,1.04-EXP(0.38*LN(5)-0.54)))-'Risk Calc'!$A$402:$A$431)/($F$6/5/2),0,1,TRUE())-NORMDIST((-($F$6-$F$6/5*MAX(0,1.04-EXP(0.38*LN(5)-0.54)))-'Risk Calc'!$A$402:$A$431)/($F$6/5/2),0,1,TRUE())))*$B$10*$B$11</f>
        <v>1133.9191442640711</v>
      </c>
    </row>
    <row r="156" spans="1:7" ht="15" customHeight="1" x14ac:dyDescent="0.25">
      <c r="A156" s="277">
        <v>0.85</v>
      </c>
      <c r="B156" s="234">
        <f t="shared" si="35"/>
        <v>0.34733523378550457</v>
      </c>
      <c r="C156" s="234"/>
      <c r="D156" s="255">
        <f t="shared" si="36"/>
        <v>4.9999999999999998E-7</v>
      </c>
      <c r="E156" s="131">
        <f>MAX(0,A156-'Risk Calc'!$B$401*SUMPRODUCT(NORMDIST('Risk Calc'!$A$402:$A$431,0,B156,FALSE()),NORMDIST((($F$6-$F$6/3*MAX(0,1.04-EXP(0.38*LN(3)-0.54)))-'Risk Calc'!$A$402:$A$431)/($F$6/3/2),0,1,TRUE())-NORMDIST((-($F$6-$F$6/3*MAX(0,1.04-EXP(0.38*LN(3)-0.54)))-'Risk Calc'!$A$402:$A$431)/($F$6/3/2),0,1,TRUE())))*$B$10*$B$11</f>
        <v>2850.3373042871704</v>
      </c>
      <c r="F156" s="131">
        <f>MAX(0,A156-'Risk Calc'!$B$401*SUMPRODUCT(NORMDIST('Risk Calc'!$A$402:$A$431,0,B156,FALSE()),NORMDIST((($F$6-$F$6/4*MAX(0,1.04-EXP(0.38*LN(4)-0.54)))-'Risk Calc'!$A$402:$A$431)/($F$6/4/2),0,1,TRUE())-NORMDIST((-($F$6-$F$6/4*MAX(0,1.04-EXP(0.38*LN(4)-0.54)))-'Risk Calc'!$A$402:$A$431)/($F$6/4/2),0,1,TRUE())))*$B$10*$B$11</f>
        <v>1573.4862380996206</v>
      </c>
      <c r="G156" s="131">
        <f>MAX(0,A156-'Risk Calc'!$B$401*SUMPRODUCT(NORMDIST('Risk Calc'!$A$402:$A$431,0,B156,FALSE()),NORMDIST((($F$6-$F$6/5*MAX(0,1.04-EXP(0.38*LN(5)-0.54)))-'Risk Calc'!$A$402:$A$431)/($F$6/5/2),0,1,TRUE())-NORMDIST((-($F$6-$F$6/5*MAX(0,1.04-EXP(0.38*LN(5)-0.54)))-'Risk Calc'!$A$402:$A$431)/($F$6/5/2),0,1,TRUE())))*$B$10*$B$11</f>
        <v>1055.5358157649241</v>
      </c>
    </row>
    <row r="157" spans="1:7" ht="15" customHeight="1" x14ac:dyDescent="0.25">
      <c r="A157" s="277">
        <v>0.9</v>
      </c>
      <c r="B157" s="234">
        <f t="shared" si="35"/>
        <v>0.30397841595588471</v>
      </c>
      <c r="C157" s="234"/>
      <c r="D157" s="255">
        <f t="shared" si="36"/>
        <v>4.9999999999999998E-7</v>
      </c>
      <c r="E157" s="131">
        <f>MAX(0,A157-'Risk Calc'!$B$401*SUMPRODUCT(NORMDIST('Risk Calc'!$A$402:$A$431,0,B157,FALSE()),NORMDIST((($F$6-$F$6/3*MAX(0,1.04-EXP(0.38*LN(3)-0.54)))-'Risk Calc'!$A$402:$A$431)/($F$6/3/2),0,1,TRUE())-NORMDIST((-($F$6-$F$6/3*MAX(0,1.04-EXP(0.38*LN(3)-0.54)))-'Risk Calc'!$A$402:$A$431)/($F$6/3/2),0,1,TRUE())))*$B$10*$B$11</f>
        <v>2562.0807896522642</v>
      </c>
      <c r="F157" s="131">
        <f>MAX(0,A157-'Risk Calc'!$B$401*SUMPRODUCT(NORMDIST('Risk Calc'!$A$402:$A$431,0,B157,FALSE()),NORMDIST((($F$6-$F$6/4*MAX(0,1.04-EXP(0.38*LN(4)-0.54)))-'Risk Calc'!$A$402:$A$431)/($F$6/4/2),0,1,TRUE())-NORMDIST((-($F$6-$F$6/4*MAX(0,1.04-EXP(0.38*LN(4)-0.54)))-'Risk Calc'!$A$402:$A$431)/($F$6/4/2),0,1,TRUE())))*$B$10*$B$11</f>
        <v>1381.8740766348492</v>
      </c>
      <c r="G157" s="131">
        <f>MAX(0,A157-'Risk Calc'!$B$401*SUMPRODUCT(NORMDIST('Risk Calc'!$A$402:$A$431,0,B157,FALSE()),NORMDIST((($F$6-$F$6/5*MAX(0,1.04-EXP(0.38*LN(5)-0.54)))-'Risk Calc'!$A$402:$A$431)/($F$6/5/2),0,1,TRUE())-NORMDIST((-($F$6-$F$6/5*MAX(0,1.04-EXP(0.38*LN(5)-0.54)))-'Risk Calc'!$A$402:$A$431)/($F$6/5/2),0,1,TRUE())))*$B$10*$B$11</f>
        <v>915.32676759411572</v>
      </c>
    </row>
    <row r="158" spans="1:7" ht="15" customHeight="1" x14ac:dyDescent="0.25">
      <c r="A158" s="277">
        <v>0.95</v>
      </c>
      <c r="B158" s="234">
        <f t="shared" si="35"/>
        <v>0.25510672846232701</v>
      </c>
      <c r="C158" s="234"/>
      <c r="D158" s="255">
        <f t="shared" si="36"/>
        <v>4.9999999999999998E-7</v>
      </c>
      <c r="E158" s="131">
        <f>MAX(0,A158-'Risk Calc'!$B$401*SUMPRODUCT(NORMDIST('Risk Calc'!$A$402:$A$431,0,B158,FALSE()),NORMDIST((($F$6-$F$6/3*MAX(0,1.04-EXP(0.38*LN(3)-0.54)))-'Risk Calc'!$A$402:$A$431)/($F$6/3/2),0,1,TRUE())-NORMDIST((-($F$6-$F$6/3*MAX(0,1.04-EXP(0.38*LN(3)-0.54)))-'Risk Calc'!$A$402:$A$431)/($F$6/3/2),0,1,TRUE())))*$B$10*$B$11</f>
        <v>2000.2361057437506</v>
      </c>
      <c r="F158" s="131">
        <f>MAX(0,A158-'Risk Calc'!$B$401*SUMPRODUCT(NORMDIST('Risk Calc'!$A$402:$A$431,0,B158,FALSE()),NORMDIST((($F$6-$F$6/4*MAX(0,1.04-EXP(0.38*LN(4)-0.54)))-'Risk Calc'!$A$402:$A$431)/($F$6/4/2),0,1,TRUE())-NORMDIST((-($F$6-$F$6/4*MAX(0,1.04-EXP(0.38*LN(4)-0.54)))-'Risk Calc'!$A$402:$A$431)/($F$6/4/2),0,1,TRUE())))*$B$10*$B$11</f>
        <v>1031.4512281940949</v>
      </c>
      <c r="G158" s="131">
        <f>MAX(0,A158-'Risk Calc'!$B$401*SUMPRODUCT(NORMDIST('Risk Calc'!$A$402:$A$431,0,B158,FALSE()),NORMDIST((($F$6-$F$6/5*MAX(0,1.04-EXP(0.38*LN(5)-0.54)))-'Risk Calc'!$A$402:$A$431)/($F$6/5/2),0,1,TRUE())-NORMDIST((-($F$6-$F$6/5*MAX(0,1.04-EXP(0.38*LN(5)-0.54)))-'Risk Calc'!$A$402:$A$431)/($F$6/5/2),0,1,TRUE())))*$B$10*$B$11</f>
        <v>666.87523817919498</v>
      </c>
    </row>
    <row r="159" spans="1:7" ht="15" customHeight="1" x14ac:dyDescent="0.25"/>
    <row r="160" spans="1:7" ht="15" customHeight="1" x14ac:dyDescent="0.25">
      <c r="A160" s="155" t="s">
        <v>333</v>
      </c>
    </row>
  </sheetData>
  <sheetProtection sheet="1" objects="1" scenarios="1" sort="0" autoFilter="0"/>
  <autoFilter ref="A23:V29" xr:uid="{00000000-0009-0000-0000-000003000000}"/>
  <mergeCells count="1">
    <mergeCell ref="C13:F14"/>
  </mergeCells>
  <dataValidations count="5">
    <dataValidation type="decimal" operator="greaterThan" error="Force must be &gt; 0" sqref="B5:C6" xr:uid="{00000000-0002-0000-0300-000000000000}">
      <formula1>0</formula1>
      <formula2>0</formula2>
    </dataValidation>
    <dataValidation type="decimal" sqref="B7:C8" xr:uid="{00000000-0002-0000-0300-000001000000}">
      <formula1>0.000001</formula1>
      <formula2>0.5</formula2>
    </dataValidation>
    <dataValidation type="decimal" error="CMC must be between 0.0001% and 10%" sqref="F24:F30 I24:I30" xr:uid="{00000000-0002-0000-0300-000002000000}">
      <formula1>0.000001</formula1>
      <formula2>0.1</formula2>
    </dataValidation>
    <dataValidation type="whole" operator="greaterThanOrEqual" sqref="D24:E30" xr:uid="{00000000-0002-0000-0300-000003000000}">
      <formula1>0</formula1>
      <formula2>0</formula2>
    </dataValidation>
    <dataValidation type="decimal" operator="greaterThanOrEqual" sqref="B24:C30" xr:uid="{00000000-0002-0000-0300-000004000000}">
      <formula1>0</formula1>
      <formula2>0</formula2>
    </dataValidation>
  </dataValidations>
  <pageMargins left="0.5" right="0.5" top="0.75" bottom="0.75" header="0.5" footer="0.5"/>
  <pageSetup orientation="landscape" horizontalDpi="300" verticalDpi="300"/>
  <headerFooter>
    <oddHeader>&amp;C&amp;8 Morehouse Instrument Company — True Cost Calculator</oddHeader>
    <oddFooter>&amp;LConfidential&amp;R&amp;8 &amp;P of &amp;N</oddFooter>
  </headerFooter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6573B"/>
  </sheetPr>
  <dimension ref="A1:U109"/>
  <sheetViews>
    <sheetView topLeftCell="A7" zoomScaleNormal="100" workbookViewId="0">
      <selection activeCell="C34" sqref="C34"/>
    </sheetView>
  </sheetViews>
  <sheetFormatPr defaultColWidth="8.7109375" defaultRowHeight="15" x14ac:dyDescent="0.25"/>
  <cols>
    <col min="1" max="1" width="24" customWidth="1"/>
    <col min="2" max="14" width="14" customWidth="1"/>
    <col min="15" max="15" width="9" customWidth="1"/>
    <col min="16" max="18" width="12" customWidth="1"/>
  </cols>
  <sheetData>
    <row r="1" spans="1:8" ht="54.75" customHeight="1" x14ac:dyDescent="0.3">
      <c r="A1" s="229" t="s">
        <v>334</v>
      </c>
    </row>
    <row r="2" spans="1:8" ht="15" customHeight="1" x14ac:dyDescent="0.25">
      <c r="A2" s="198" t="s">
        <v>335</v>
      </c>
    </row>
    <row r="3" spans="1:8" ht="15" customHeight="1" x14ac:dyDescent="0.25"/>
    <row r="4" spans="1:8" ht="15" customHeight="1" x14ac:dyDescent="0.25">
      <c r="A4" s="175" t="s">
        <v>336</v>
      </c>
    </row>
    <row r="5" spans="1:8" ht="15" customHeight="1" x14ac:dyDescent="0.25">
      <c r="A5" s="285" t="s">
        <v>130</v>
      </c>
      <c r="B5" s="285" t="s">
        <v>337</v>
      </c>
      <c r="C5" s="285" t="s">
        <v>338</v>
      </c>
      <c r="D5" s="285" t="s">
        <v>208</v>
      </c>
      <c r="E5" s="285" t="s">
        <v>339</v>
      </c>
    </row>
    <row r="6" spans="1:8" ht="15" customHeight="1" x14ac:dyDescent="0.25">
      <c r="A6" t="str">
        <f>'Range Analysis'!A24</f>
        <v>BCM</v>
      </c>
      <c r="B6" s="131">
        <f>'Range Analysis'!B24</f>
        <v>25000</v>
      </c>
      <c r="C6" s="131">
        <f>'Range Analysis'!T24</f>
        <v>5897.9484724655886</v>
      </c>
      <c r="D6" s="131">
        <f>'Range Analysis'!U24</f>
        <v>10748.561702652902</v>
      </c>
      <c r="E6" s="131">
        <f>'Range Analysis'!V24</f>
        <v>27870.198556857162</v>
      </c>
    </row>
    <row r="7" spans="1:8" ht="15" customHeight="1" x14ac:dyDescent="0.25">
      <c r="A7" t="str">
        <f>'Range Analysis'!A25</f>
        <v>PCM</v>
      </c>
      <c r="B7" s="131">
        <f>'Range Analysis'!B25</f>
        <v>35000</v>
      </c>
      <c r="C7" s="131">
        <f>'Range Analysis'!T25</f>
        <v>3786.3810988273713</v>
      </c>
      <c r="D7" s="131">
        <f>'Range Analysis'!U25</f>
        <v>4608.5203930278913</v>
      </c>
      <c r="E7" s="131">
        <f>'Range Analysis'!V25</f>
        <v>12865.255217125372</v>
      </c>
    </row>
    <row r="8" spans="1:8" ht="15" customHeight="1" x14ac:dyDescent="0.25">
      <c r="A8" t="str">
        <f>'Range Analysis'!A26</f>
        <v>UCM Manual</v>
      </c>
      <c r="B8" s="131">
        <f>'Range Analysis'!B26</f>
        <v>50000</v>
      </c>
      <c r="C8" s="131">
        <f>'Range Analysis'!T26</f>
        <v>3590.4789810422817</v>
      </c>
      <c r="D8" s="131">
        <f>'Range Analysis'!U26</f>
        <v>4143.8717077453948</v>
      </c>
      <c r="E8" s="131">
        <f>'Range Analysis'!V26</f>
        <v>11509.258404228567</v>
      </c>
    </row>
    <row r="9" spans="1:8" ht="15" customHeight="1" x14ac:dyDescent="0.25">
      <c r="A9" t="str">
        <f>'Range Analysis'!A27</f>
        <v>UCM Automated</v>
      </c>
      <c r="B9" s="131">
        <f>'Range Analysis'!B27</f>
        <v>100000</v>
      </c>
      <c r="C9" s="131">
        <f>'Range Analysis'!T27</f>
        <v>3281.4249915707787</v>
      </c>
      <c r="D9" s="131">
        <f>'Range Analysis'!U27</f>
        <v>3466.1247892315041</v>
      </c>
      <c r="E9" s="131">
        <f>'Range Analysis'!V27</f>
        <v>9415.6611749970652</v>
      </c>
    </row>
    <row r="10" spans="1:8" ht="15" customHeight="1" x14ac:dyDescent="0.25">
      <c r="A10" t="str">
        <f>'Range Analysis'!A28</f>
        <v>Deadweight</v>
      </c>
      <c r="B10" s="131">
        <f>'Range Analysis'!B28</f>
        <v>350000</v>
      </c>
      <c r="C10" s="131">
        <f>'Range Analysis'!T28</f>
        <v>277.53030738569646</v>
      </c>
      <c r="D10" s="131">
        <f>'Range Analysis'!U28</f>
        <v>277.53030738569646</v>
      </c>
      <c r="E10" s="131">
        <f>'Range Analysis'!V28</f>
        <v>531.08111858428208</v>
      </c>
    </row>
    <row r="11" spans="1:8" ht="15" customHeight="1" x14ac:dyDescent="0.25">
      <c r="A11" t="str">
        <f>'Range Analysis'!A29</f>
        <v>Competitor</v>
      </c>
      <c r="B11" s="131">
        <f>'Range Analysis'!B29</f>
        <v>55000</v>
      </c>
      <c r="C11" s="131">
        <f>'Range Analysis'!T29</f>
        <v>12298.648091027624</v>
      </c>
      <c r="D11" s="131">
        <f>'Range Analysis'!U29</f>
        <v>33510.476696706282</v>
      </c>
      <c r="E11" s="131">
        <f>'Range Analysis'!V29</f>
        <v>53916.666666666672</v>
      </c>
    </row>
    <row r="12" spans="1:8" ht="15" customHeight="1" x14ac:dyDescent="0.25">
      <c r="A12" t="str">
        <f>'Range Analysis'!A30</f>
        <v>Competitor 2</v>
      </c>
      <c r="B12" s="131">
        <f>'Range Analysis'!B30</f>
        <v>40000</v>
      </c>
      <c r="C12" s="131">
        <f>'Range Analysis'!T30</f>
        <v>15797.09040066138</v>
      </c>
      <c r="D12" s="131">
        <f>'Range Analysis'!U30</f>
        <v>45296.493929772041</v>
      </c>
      <c r="E12" s="131">
        <f>'Range Analysis'!V30</f>
        <v>53916.666666666672</v>
      </c>
    </row>
    <row r="13" spans="1:8" ht="15" customHeight="1" x14ac:dyDescent="0.25">
      <c r="A13" s="175" t="s">
        <v>340</v>
      </c>
    </row>
    <row r="14" spans="1:8" ht="15" customHeight="1" x14ac:dyDescent="0.25">
      <c r="A14" s="285" t="s">
        <v>341</v>
      </c>
      <c r="B14" s="285" t="s">
        <v>342</v>
      </c>
      <c r="C14" s="285" t="s">
        <v>343</v>
      </c>
      <c r="D14" s="285" t="s">
        <v>344</v>
      </c>
      <c r="E14" s="202"/>
    </row>
    <row r="15" spans="1:8" ht="15" customHeight="1" x14ac:dyDescent="0.25">
      <c r="A15" t="s">
        <v>345</v>
      </c>
      <c r="B15" s="131">
        <f>B6-B11</f>
        <v>-30000</v>
      </c>
      <c r="C15" s="131">
        <f>D11-D6</f>
        <v>22761.914994053383</v>
      </c>
      <c r="D15" s="129">
        <f t="shared" ref="D15:D20" si="0">IF(C15&lt;=0,"N/A",B15/C15)</f>
        <v>-1.317991039323255</v>
      </c>
      <c r="E15" s="131"/>
      <c r="F15" s="129"/>
      <c r="G15" s="131"/>
      <c r="H15" s="129"/>
    </row>
    <row r="16" spans="1:8" ht="15" customHeight="1" x14ac:dyDescent="0.25">
      <c r="A16" t="s">
        <v>346</v>
      </c>
      <c r="B16" s="131">
        <f>B8-B11</f>
        <v>-5000</v>
      </c>
      <c r="C16" s="131">
        <f>D11-D8</f>
        <v>29366.604988960888</v>
      </c>
      <c r="D16" s="129">
        <f t="shared" si="0"/>
        <v>-0.17026142456302099</v>
      </c>
      <c r="E16" s="131"/>
      <c r="F16" s="129"/>
      <c r="G16" s="131"/>
      <c r="H16" s="129"/>
    </row>
    <row r="17" spans="1:21" ht="15" customHeight="1" x14ac:dyDescent="0.25">
      <c r="A17" t="s">
        <v>347</v>
      </c>
      <c r="B17" s="131">
        <f>B8-B12</f>
        <v>10000</v>
      </c>
      <c r="C17" s="131">
        <f>D12-D8</f>
        <v>41152.62222202665</v>
      </c>
      <c r="D17" s="129">
        <f t="shared" si="0"/>
        <v>0.24299788105963199</v>
      </c>
      <c r="E17" s="131"/>
      <c r="F17" s="129"/>
      <c r="G17" s="131"/>
      <c r="H17" s="129"/>
    </row>
    <row r="18" spans="1:21" ht="15" customHeight="1" x14ac:dyDescent="0.25">
      <c r="A18" t="s">
        <v>348</v>
      </c>
      <c r="B18" s="131">
        <f>B8-B6</f>
        <v>25000</v>
      </c>
      <c r="C18" s="131">
        <f>D6-D8</f>
        <v>6604.6899949075068</v>
      </c>
      <c r="D18" s="129">
        <f t="shared" si="0"/>
        <v>3.7851890125465464</v>
      </c>
      <c r="E18" s="131"/>
      <c r="F18" s="129"/>
      <c r="G18" s="131"/>
      <c r="H18" s="129"/>
    </row>
    <row r="19" spans="1:21" ht="15" customHeight="1" x14ac:dyDescent="0.25">
      <c r="A19" t="s">
        <v>349</v>
      </c>
      <c r="B19" s="131">
        <f>B9-B6</f>
        <v>75000</v>
      </c>
      <c r="C19" s="131">
        <f>D6-D9</f>
        <v>7282.4369134213975</v>
      </c>
      <c r="D19" s="129">
        <f t="shared" si="0"/>
        <v>10.298750389691174</v>
      </c>
      <c r="E19" s="131"/>
      <c r="F19" s="129"/>
      <c r="G19" s="131"/>
      <c r="H19" s="129"/>
    </row>
    <row r="20" spans="1:21" ht="15" customHeight="1" x14ac:dyDescent="0.25">
      <c r="A20" t="s">
        <v>350</v>
      </c>
      <c r="B20" s="131">
        <f>B10-B8</f>
        <v>300000</v>
      </c>
      <c r="C20" s="131">
        <f>D8-D10</f>
        <v>3866.3414003596981</v>
      </c>
      <c r="D20" s="129">
        <f t="shared" si="0"/>
        <v>77.592734043633612</v>
      </c>
      <c r="E20" s="131"/>
      <c r="F20" s="129"/>
      <c r="G20" s="131"/>
      <c r="H20" s="129"/>
    </row>
    <row r="21" spans="1:21" ht="15" customHeight="1" x14ac:dyDescent="0.25">
      <c r="B21" s="131"/>
      <c r="C21" s="131"/>
      <c r="D21" s="129"/>
      <c r="E21" s="131"/>
      <c r="F21" s="129"/>
      <c r="G21" s="131"/>
      <c r="H21" s="129"/>
    </row>
    <row r="22" spans="1:21" ht="15" customHeight="1" x14ac:dyDescent="0.25">
      <c r="B22" s="131"/>
      <c r="C22" s="131"/>
      <c r="D22" s="129"/>
      <c r="E22" s="131"/>
      <c r="F22" s="129"/>
      <c r="G22" s="131"/>
      <c r="H22" s="129"/>
    </row>
    <row r="23" spans="1:21" ht="15" customHeight="1" x14ac:dyDescent="0.25"/>
    <row r="24" spans="1:21" ht="15.75" customHeight="1" x14ac:dyDescent="0.3">
      <c r="A24" s="239" t="s">
        <v>351</v>
      </c>
    </row>
    <row r="25" spans="1:21" ht="15" customHeight="1" x14ac:dyDescent="0.25">
      <c r="A25" s="286" t="s">
        <v>56</v>
      </c>
      <c r="B25" s="6">
        <f>Dashboard!B22</f>
        <v>300</v>
      </c>
    </row>
    <row r="26" spans="1:21" ht="15" customHeight="1" x14ac:dyDescent="0.25">
      <c r="A26" s="3" t="s">
        <v>59</v>
      </c>
      <c r="B26" s="5">
        <f>Dashboard!B23</f>
        <v>3</v>
      </c>
    </row>
    <row r="27" spans="1:21" ht="15" customHeight="1" x14ac:dyDescent="0.25">
      <c r="A27" s="3" t="s">
        <v>36</v>
      </c>
      <c r="B27" s="287">
        <f>Dashboard!B10</f>
        <v>500</v>
      </c>
      <c r="C27" s="131"/>
      <c r="D27" s="131"/>
    </row>
    <row r="28" spans="1:21" ht="15" customHeight="1" x14ac:dyDescent="0.25">
      <c r="A28" t="s">
        <v>149</v>
      </c>
      <c r="B28" s="131">
        <f>Dashboard!B7</f>
        <v>200</v>
      </c>
      <c r="C28" s="131"/>
      <c r="D28" s="131"/>
    </row>
    <row r="29" spans="1:21" ht="15" customHeight="1" x14ac:dyDescent="0.25">
      <c r="A29" s="278" t="s">
        <v>352</v>
      </c>
      <c r="B29" s="131"/>
      <c r="C29" s="131"/>
      <c r="D29" s="131"/>
    </row>
    <row r="30" spans="1:21" ht="37.5" customHeight="1" x14ac:dyDescent="0.25">
      <c r="A30" s="285" t="s">
        <v>130</v>
      </c>
      <c r="B30" s="288" t="s">
        <v>337</v>
      </c>
      <c r="C30" s="288" t="s">
        <v>353</v>
      </c>
      <c r="D30" s="288" t="s">
        <v>354</v>
      </c>
      <c r="E30" s="285" t="s">
        <v>355</v>
      </c>
      <c r="F30" s="285" t="s">
        <v>356</v>
      </c>
      <c r="G30" s="285" t="s">
        <v>357</v>
      </c>
      <c r="H30" s="285" t="s">
        <v>213</v>
      </c>
      <c r="I30" s="285" t="s">
        <v>358</v>
      </c>
      <c r="J30" s="285" t="s">
        <v>359</v>
      </c>
      <c r="K30" s="285" t="s">
        <v>214</v>
      </c>
      <c r="L30" s="285" t="s">
        <v>360</v>
      </c>
      <c r="M30" s="285" t="s">
        <v>361</v>
      </c>
      <c r="N30" s="285" t="s">
        <v>362</v>
      </c>
      <c r="O30" s="209" t="s">
        <v>142</v>
      </c>
      <c r="P30" s="271" t="s">
        <v>363</v>
      </c>
      <c r="Q30" s="271" t="s">
        <v>364</v>
      </c>
      <c r="R30" s="271" t="s">
        <v>365</v>
      </c>
      <c r="S30" s="200" t="s">
        <v>366</v>
      </c>
      <c r="T30" s="200" t="s">
        <v>367</v>
      </c>
      <c r="U30" s="200" t="s">
        <v>368</v>
      </c>
    </row>
    <row r="31" spans="1:21" ht="15" customHeight="1" x14ac:dyDescent="0.25">
      <c r="A31" t="str">
        <f t="shared" ref="A31:B37" si="1">A6</f>
        <v>BCM</v>
      </c>
      <c r="B31" s="131">
        <f t="shared" si="1"/>
        <v>25000</v>
      </c>
      <c r="C31" s="131">
        <f t="shared" ref="C31:C37" si="2">$B$27*$B$25</f>
        <v>150000</v>
      </c>
      <c r="D31" s="131">
        <f t="shared" ref="D31:F37" si="3">C6</f>
        <v>5897.9484724655886</v>
      </c>
      <c r="E31" s="131">
        <f t="shared" si="3"/>
        <v>10748.561702652902</v>
      </c>
      <c r="F31" s="131">
        <f t="shared" si="3"/>
        <v>27870.198556857162</v>
      </c>
      <c r="G31" s="131">
        <f t="shared" ref="G31:G37" si="4">C31-D31-P31</f>
        <v>54102.051527534408</v>
      </c>
      <c r="H31" s="131">
        <f t="shared" ref="H31:H37" si="5">C31-E31-P31</f>
        <v>49251.438297347107</v>
      </c>
      <c r="I31" s="131">
        <f t="shared" ref="I31:I37" si="6">C31-F31-P31</f>
        <v>32129.801443142846</v>
      </c>
      <c r="J31" s="129">
        <f t="shared" ref="J31:J37" si="7">IF(G31&lt;=0,"Never",B31/G31)</f>
        <v>0.46208968595722538</v>
      </c>
      <c r="K31" s="129">
        <f t="shared" ref="K31:K37" si="8">IF(H31&lt;=0,"Never",B31/H31)</f>
        <v>0.50759938926182802</v>
      </c>
      <c r="L31" s="129">
        <f t="shared" ref="L31:L37" si="9">IF(I31&lt;=0,"Never",B31/I31)</f>
        <v>0.7780938218445016</v>
      </c>
      <c r="M31" s="131">
        <f t="shared" ref="M31:M37" si="10">(B31/$B$26+D31+P31)/$B$27</f>
        <v>208.46256361159783</v>
      </c>
      <c r="N31" s="131">
        <f t="shared" ref="N31:N37" si="11">(B31/$B$26+E31+P31)/$B$27</f>
        <v>218.16379007197247</v>
      </c>
      <c r="O31" s="289">
        <f>'Range Analysis'!C24</f>
        <v>0.9</v>
      </c>
      <c r="P31" s="131">
        <f t="shared" ref="P31:P37" si="12">O31*$B$28*$B$27</f>
        <v>90000</v>
      </c>
      <c r="Q31" s="131">
        <f t="shared" ref="Q31:Q37" si="13">(B31/$B$26+F31+P31)/$B$27</f>
        <v>252.40706378038101</v>
      </c>
      <c r="R31" s="131">
        <f t="shared" ref="R31:R37" si="14">IF(O31=0,"N/A",N31/O31)</f>
        <v>242.40421119108052</v>
      </c>
      <c r="S31" s="131">
        <f>IF(Dashboard!$B$12="Yes",Dashboard!Z25+'Range Analysis'!R24+'Range Analysis'!S24,0)</f>
        <v>5044.0992653124486</v>
      </c>
      <c r="T31" s="131">
        <f>IF(Dashboard!$B$12="Yes",C31-S31-P31,0)</f>
        <v>54955.900734687544</v>
      </c>
      <c r="U31">
        <f>IF(Dashboard!$B$12="Yes",IF(T31&lt;=0,"Never",B31/T31),0)</f>
        <v>0.45491020374123869</v>
      </c>
    </row>
    <row r="32" spans="1:21" ht="15" customHeight="1" x14ac:dyDescent="0.25">
      <c r="A32" t="str">
        <f t="shared" si="1"/>
        <v>PCM</v>
      </c>
      <c r="B32" s="131">
        <f t="shared" si="1"/>
        <v>35000</v>
      </c>
      <c r="C32" s="131">
        <f t="shared" si="2"/>
        <v>150000</v>
      </c>
      <c r="D32" s="131">
        <f t="shared" si="3"/>
        <v>3786.3810988273713</v>
      </c>
      <c r="E32" s="131">
        <f t="shared" si="3"/>
        <v>4608.5203930278913</v>
      </c>
      <c r="F32" s="131">
        <f t="shared" si="3"/>
        <v>12865.255217125372</v>
      </c>
      <c r="G32" s="131">
        <f t="shared" si="4"/>
        <v>56213.618901172624</v>
      </c>
      <c r="H32" s="131">
        <f t="shared" si="5"/>
        <v>55391.479606972105</v>
      </c>
      <c r="I32" s="131">
        <f t="shared" si="6"/>
        <v>47134.744782874623</v>
      </c>
      <c r="J32" s="129">
        <f t="shared" si="7"/>
        <v>0.62262492051138685</v>
      </c>
      <c r="K32" s="129">
        <f t="shared" si="8"/>
        <v>0.63186613263160718</v>
      </c>
      <c r="L32" s="129">
        <f t="shared" si="9"/>
        <v>0.74255202104576756</v>
      </c>
      <c r="M32" s="131">
        <f t="shared" si="10"/>
        <v>210.90609553098807</v>
      </c>
      <c r="N32" s="131">
        <f t="shared" si="11"/>
        <v>212.55037411938909</v>
      </c>
      <c r="O32" s="289">
        <f>'Range Analysis'!C25</f>
        <v>0.9</v>
      </c>
      <c r="P32" s="131">
        <f t="shared" si="12"/>
        <v>90000</v>
      </c>
      <c r="Q32" s="131">
        <f t="shared" si="13"/>
        <v>229.06384376758407</v>
      </c>
      <c r="R32" s="131">
        <f t="shared" si="14"/>
        <v>236.16708235487675</v>
      </c>
      <c r="S32" s="131">
        <f>IF(Dashboard!$B$12="Yes",Dashboard!Z26+'Range Analysis'!R25+'Range Analysis'!S25,0)</f>
        <v>3786.3810988273713</v>
      </c>
      <c r="T32" s="131">
        <f>IF(Dashboard!$B$12="Yes",C32-S32-P32,0)</f>
        <v>56213.618901172624</v>
      </c>
      <c r="U32">
        <f>IF(Dashboard!$B$12="Yes",IF(T32&lt;=0,"Never",B32/T32),0)</f>
        <v>0.62262492051138685</v>
      </c>
    </row>
    <row r="33" spans="1:21" ht="15" customHeight="1" x14ac:dyDescent="0.25">
      <c r="A33" t="str">
        <f t="shared" si="1"/>
        <v>UCM Manual</v>
      </c>
      <c r="B33" s="131">
        <f t="shared" si="1"/>
        <v>50000</v>
      </c>
      <c r="C33" s="131">
        <f t="shared" si="2"/>
        <v>150000</v>
      </c>
      <c r="D33" s="131">
        <f t="shared" si="3"/>
        <v>3590.4789810422817</v>
      </c>
      <c r="E33" s="131">
        <f t="shared" si="3"/>
        <v>4143.8717077453948</v>
      </c>
      <c r="F33" s="131">
        <f t="shared" si="3"/>
        <v>11509.258404228567</v>
      </c>
      <c r="G33" s="131">
        <f t="shared" si="4"/>
        <v>46409.521018957719</v>
      </c>
      <c r="H33" s="131">
        <f t="shared" si="5"/>
        <v>45856.128292254609</v>
      </c>
      <c r="I33" s="131">
        <f t="shared" si="6"/>
        <v>38490.741595771426</v>
      </c>
      <c r="J33" s="129">
        <f t="shared" si="7"/>
        <v>1.0773651376314703</v>
      </c>
      <c r="K33" s="129">
        <f t="shared" si="8"/>
        <v>1.0903668029131304</v>
      </c>
      <c r="L33" s="129">
        <f t="shared" si="9"/>
        <v>1.2990136829552013</v>
      </c>
      <c r="M33" s="131">
        <f t="shared" si="10"/>
        <v>240.51429129541791</v>
      </c>
      <c r="N33" s="131">
        <f t="shared" si="11"/>
        <v>241.62107674882412</v>
      </c>
      <c r="O33" s="289">
        <f>'Range Analysis'!C26</f>
        <v>1</v>
      </c>
      <c r="P33" s="131">
        <f t="shared" si="12"/>
        <v>100000</v>
      </c>
      <c r="Q33" s="131">
        <f t="shared" si="13"/>
        <v>256.35185014179046</v>
      </c>
      <c r="R33" s="131">
        <f t="shared" si="14"/>
        <v>241.62107674882412</v>
      </c>
      <c r="S33" s="131">
        <f>IF(Dashboard!$B$12="Yes",Dashboard!Z27+'Range Analysis'!R26+'Range Analysis'!S26,0)</f>
        <v>3590.4789810422817</v>
      </c>
      <c r="T33" s="131">
        <f>IF(Dashboard!$B$12="Yes",C33-S33-P33,0)</f>
        <v>46409.521018957719</v>
      </c>
      <c r="U33">
        <f>IF(Dashboard!$B$12="Yes",IF(T33&lt;=0,"Never",B33/T33),0)</f>
        <v>1.0773651376314703</v>
      </c>
    </row>
    <row r="34" spans="1:21" ht="15" customHeight="1" x14ac:dyDescent="0.25">
      <c r="A34" t="str">
        <f t="shared" si="1"/>
        <v>UCM Automated</v>
      </c>
      <c r="B34" s="131">
        <f t="shared" si="1"/>
        <v>100000</v>
      </c>
      <c r="C34" s="131">
        <f t="shared" si="2"/>
        <v>150000</v>
      </c>
      <c r="D34" s="131">
        <f t="shared" si="3"/>
        <v>3281.4249915707787</v>
      </c>
      <c r="E34" s="131">
        <f t="shared" si="3"/>
        <v>3466.1247892315041</v>
      </c>
      <c r="F34" s="131">
        <f t="shared" si="3"/>
        <v>9415.6611749970652</v>
      </c>
      <c r="G34" s="131">
        <f t="shared" si="4"/>
        <v>56718.575008429209</v>
      </c>
      <c r="H34" s="131">
        <f t="shared" si="5"/>
        <v>56533.875210768485</v>
      </c>
      <c r="I34" s="131">
        <f t="shared" si="6"/>
        <v>50584.338825002924</v>
      </c>
      <c r="J34" s="129">
        <f t="shared" si="7"/>
        <v>1.763090839026519</v>
      </c>
      <c r="K34" s="129">
        <f t="shared" si="8"/>
        <v>1.7688509699216968</v>
      </c>
      <c r="L34" s="129">
        <f t="shared" si="9"/>
        <v>1.9768964529901458</v>
      </c>
      <c r="M34" s="131">
        <f t="shared" si="10"/>
        <v>253.2295166498082</v>
      </c>
      <c r="N34" s="131">
        <f t="shared" si="11"/>
        <v>253.59891624512969</v>
      </c>
      <c r="O34" s="289">
        <f>'Range Analysis'!C27</f>
        <v>0.9</v>
      </c>
      <c r="P34" s="131">
        <f t="shared" si="12"/>
        <v>90000</v>
      </c>
      <c r="Q34" s="131">
        <f t="shared" si="13"/>
        <v>265.49798901666082</v>
      </c>
      <c r="R34" s="131">
        <f t="shared" si="14"/>
        <v>281.77657360569964</v>
      </c>
      <c r="S34" s="131">
        <f>IF(Dashboard!$B$12="Yes",Dashboard!Z28+'Range Analysis'!R27+'Range Analysis'!S27,0)</f>
        <v>2994.2843178042604</v>
      </c>
      <c r="T34" s="131">
        <f>IF(Dashboard!$B$12="Yes",C34-S34-P34,0)</f>
        <v>57005.715682195732</v>
      </c>
      <c r="U34">
        <f>IF(Dashboard!$B$12="Yes",IF(T34&lt;=0,"Never",B34/T34),0)</f>
        <v>1.7542100612769331</v>
      </c>
    </row>
    <row r="35" spans="1:21" ht="15" customHeight="1" x14ac:dyDescent="0.25">
      <c r="A35" t="str">
        <f t="shared" si="1"/>
        <v>Deadweight</v>
      </c>
      <c r="B35" s="131">
        <f t="shared" si="1"/>
        <v>350000</v>
      </c>
      <c r="C35" s="131">
        <f t="shared" si="2"/>
        <v>150000</v>
      </c>
      <c r="D35" s="131">
        <f t="shared" si="3"/>
        <v>277.53030738569646</v>
      </c>
      <c r="E35" s="131">
        <f t="shared" si="3"/>
        <v>277.53030738569646</v>
      </c>
      <c r="F35" s="131">
        <f t="shared" si="3"/>
        <v>531.08111858428208</v>
      </c>
      <c r="G35" s="131">
        <f t="shared" si="4"/>
        <v>29722.469692614308</v>
      </c>
      <c r="H35" s="131">
        <f t="shared" si="5"/>
        <v>29722.469692614308</v>
      </c>
      <c r="I35" s="131">
        <f t="shared" si="6"/>
        <v>29468.91888141571</v>
      </c>
      <c r="J35" s="129">
        <f t="shared" si="7"/>
        <v>11.775602889653916</v>
      </c>
      <c r="K35" s="129">
        <f t="shared" si="8"/>
        <v>11.775602889653916</v>
      </c>
      <c r="L35" s="129">
        <f t="shared" si="9"/>
        <v>11.876920270078999</v>
      </c>
      <c r="M35" s="131">
        <f t="shared" si="10"/>
        <v>473.88839394810469</v>
      </c>
      <c r="N35" s="131">
        <f t="shared" si="11"/>
        <v>473.88839394810469</v>
      </c>
      <c r="O35" s="289">
        <f>'Range Analysis'!C28</f>
        <v>1.2</v>
      </c>
      <c r="P35" s="131">
        <f t="shared" si="12"/>
        <v>120000</v>
      </c>
      <c r="Q35" s="131">
        <f t="shared" si="13"/>
        <v>474.39549557050191</v>
      </c>
      <c r="R35" s="131">
        <f t="shared" si="14"/>
        <v>394.90699495675392</v>
      </c>
      <c r="S35" s="131">
        <f>IF(Dashboard!$B$12="Yes",Dashboard!Z29+'Range Analysis'!R28+'Range Analysis'!S28,0)</f>
        <v>277.53030738569646</v>
      </c>
      <c r="T35" s="131">
        <f>IF(Dashboard!$B$12="Yes",C35-S35-P35,0)</f>
        <v>29722.469692614308</v>
      </c>
      <c r="U35">
        <f>IF(Dashboard!$B$12="Yes",IF(T35&lt;=0,"Never",B35/T35),0)</f>
        <v>11.775602889653916</v>
      </c>
    </row>
    <row r="36" spans="1:21" ht="15" customHeight="1" x14ac:dyDescent="0.25">
      <c r="A36" t="str">
        <f t="shared" si="1"/>
        <v>Competitor</v>
      </c>
      <c r="B36" s="131">
        <f t="shared" si="1"/>
        <v>55000</v>
      </c>
      <c r="C36" s="131">
        <f t="shared" si="2"/>
        <v>150000</v>
      </c>
      <c r="D36" s="131">
        <f t="shared" si="3"/>
        <v>12298.648091027624</v>
      </c>
      <c r="E36" s="131">
        <f t="shared" si="3"/>
        <v>33510.476696706282</v>
      </c>
      <c r="F36" s="131">
        <f t="shared" si="3"/>
        <v>53916.666666666672</v>
      </c>
      <c r="G36" s="131">
        <f t="shared" si="4"/>
        <v>37701.35190897237</v>
      </c>
      <c r="H36" s="131">
        <f t="shared" si="5"/>
        <v>16489.52330329371</v>
      </c>
      <c r="I36" s="131">
        <f t="shared" si="6"/>
        <v>-3916.6666666666715</v>
      </c>
      <c r="J36" s="129">
        <f t="shared" si="7"/>
        <v>1.458833628374764</v>
      </c>
      <c r="K36" s="129">
        <f t="shared" si="8"/>
        <v>3.3354511824495248</v>
      </c>
      <c r="L36" s="129" t="str">
        <f t="shared" si="9"/>
        <v>Never</v>
      </c>
      <c r="M36" s="131">
        <f t="shared" si="10"/>
        <v>261.26396284872192</v>
      </c>
      <c r="N36" s="131">
        <f t="shared" si="11"/>
        <v>303.68762006007927</v>
      </c>
      <c r="O36" s="289">
        <f>'Range Analysis'!C29</f>
        <v>1</v>
      </c>
      <c r="P36" s="131">
        <f t="shared" si="12"/>
        <v>100000</v>
      </c>
      <c r="Q36" s="131">
        <f t="shared" si="13"/>
        <v>344.5</v>
      </c>
      <c r="R36" s="131">
        <f t="shared" si="14"/>
        <v>303.68762006007927</v>
      </c>
      <c r="S36" s="131">
        <f>IF(Dashboard!$B$12="Yes",Dashboard!Z30+'Range Analysis'!R29+'Range Analysis'!S29,0)</f>
        <v>5044.0992653124486</v>
      </c>
      <c r="T36" s="131">
        <f>IF(Dashboard!$B$12="Yes",C36-S36-P36,0)</f>
        <v>44955.900734687544</v>
      </c>
      <c r="U36">
        <f>IF(Dashboard!$B$12="Yes",IF(T36&lt;=0,"Never",B36/T36),0)</f>
        <v>1.223421154980052</v>
      </c>
    </row>
    <row r="37" spans="1:21" ht="15" customHeight="1" x14ac:dyDescent="0.25">
      <c r="A37" t="str">
        <f t="shared" si="1"/>
        <v>Competitor 2</v>
      </c>
      <c r="B37" s="131">
        <f t="shared" si="1"/>
        <v>40000</v>
      </c>
      <c r="C37" s="131">
        <f t="shared" si="2"/>
        <v>150000</v>
      </c>
      <c r="D37" s="131">
        <f t="shared" si="3"/>
        <v>15797.09040066138</v>
      </c>
      <c r="E37" s="131">
        <f t="shared" si="3"/>
        <v>45296.493929772041</v>
      </c>
      <c r="F37" s="131">
        <f t="shared" si="3"/>
        <v>53916.666666666672</v>
      </c>
      <c r="G37" s="131">
        <f t="shared" si="4"/>
        <v>34202.909599338629</v>
      </c>
      <c r="H37" s="131">
        <f t="shared" si="5"/>
        <v>4703.5060702279588</v>
      </c>
      <c r="I37" s="131">
        <f t="shared" si="6"/>
        <v>-3916.6666666666715</v>
      </c>
      <c r="J37" s="129">
        <f t="shared" si="7"/>
        <v>1.1694911476412366</v>
      </c>
      <c r="K37" s="129">
        <f t="shared" si="8"/>
        <v>8.504294329115508</v>
      </c>
      <c r="L37" s="129" t="str">
        <f t="shared" si="9"/>
        <v>Never</v>
      </c>
      <c r="M37" s="131">
        <f t="shared" si="10"/>
        <v>258.26084746798944</v>
      </c>
      <c r="N37" s="131">
        <f t="shared" si="11"/>
        <v>317.25965452621074</v>
      </c>
      <c r="O37" s="289">
        <f>'Range Analysis'!C30</f>
        <v>1</v>
      </c>
      <c r="P37" s="131">
        <f t="shared" si="12"/>
        <v>100000</v>
      </c>
      <c r="Q37" s="131">
        <f t="shared" si="13"/>
        <v>334.5</v>
      </c>
      <c r="R37" s="131">
        <f t="shared" si="14"/>
        <v>317.25965452621074</v>
      </c>
      <c r="S37" s="131">
        <f>IF(Dashboard!$B$12="Yes",Dashboard!Z31+'Range Analysis'!R30+'Range Analysis'!S30,0)</f>
        <v>5632.0294509074747</v>
      </c>
      <c r="T37" s="131">
        <f>IF(Dashboard!$B$12="Yes",C37-S37-P37,0)</f>
        <v>44367.970549092512</v>
      </c>
      <c r="U37">
        <f>IF(Dashboard!$B$12="Yes",IF(T37&lt;=0,"Never",B37/T37),0)</f>
        <v>0.90155126558562293</v>
      </c>
    </row>
    <row r="38" spans="1:21" ht="15" customHeight="1" x14ac:dyDescent="0.25">
      <c r="O38" s="290" t="s">
        <v>643</v>
      </c>
    </row>
    <row r="39" spans="1:21" ht="15" customHeight="1" x14ac:dyDescent="0.25">
      <c r="A39" s="278" t="s">
        <v>369</v>
      </c>
    </row>
    <row r="40" spans="1:21" ht="37.5" customHeight="1" x14ac:dyDescent="0.25">
      <c r="A40" s="285" t="s">
        <v>130</v>
      </c>
      <c r="B40" s="285" t="s">
        <v>337</v>
      </c>
      <c r="C40" s="285" t="s">
        <v>370</v>
      </c>
      <c r="D40" s="285" t="s">
        <v>371</v>
      </c>
      <c r="E40" s="271" t="s">
        <v>372</v>
      </c>
    </row>
    <row r="41" spans="1:21" ht="15" customHeight="1" x14ac:dyDescent="0.25">
      <c r="A41" t="str">
        <f t="shared" ref="A41:B47" si="15">A6</f>
        <v>BCM</v>
      </c>
      <c r="B41" s="131">
        <f t="shared" si="15"/>
        <v>25000</v>
      </c>
      <c r="C41" s="256">
        <f t="shared" ref="C41:C47" si="16">IFERROR(IF(($B$25-D31/$B$27-P31/$B$27)&lt;=0,"N/A",B41/($B$25-D31/$B$27-P31/$B$27)),"N/A")</f>
        <v>231.04484297861273</v>
      </c>
      <c r="D41" s="256">
        <f t="shared" ref="D41:D47" si="17">IFERROR(IF(($B$25-E31/$B$27-P31/$B$27)&lt;=0,"N/A",B41/($B$25-E31/$B$27-P31/$B$27)),"N/A")</f>
        <v>253.79969463091402</v>
      </c>
      <c r="E41" s="256">
        <f t="shared" ref="E41:E47" si="18">IFERROR(IF(($B$25-F31/$B$27-P31/$B$27)&lt;=0,"N/A",B41/($B$25-F31/$B$27-P31/$B$27)),"N/A")</f>
        <v>389.0469109222509</v>
      </c>
    </row>
    <row r="42" spans="1:21" ht="15" customHeight="1" x14ac:dyDescent="0.25">
      <c r="A42" t="str">
        <f t="shared" si="15"/>
        <v>PCM</v>
      </c>
      <c r="B42" s="131">
        <f t="shared" si="15"/>
        <v>35000</v>
      </c>
      <c r="C42" s="256">
        <f t="shared" si="16"/>
        <v>311.31246025569345</v>
      </c>
      <c r="D42" s="256">
        <f t="shared" si="17"/>
        <v>315.93306631580361</v>
      </c>
      <c r="E42" s="256">
        <f t="shared" si="18"/>
        <v>371.27601052288372</v>
      </c>
    </row>
    <row r="43" spans="1:21" ht="15" customHeight="1" x14ac:dyDescent="0.25">
      <c r="A43" t="str">
        <f t="shared" si="15"/>
        <v>UCM Manual</v>
      </c>
      <c r="B43" s="131">
        <f t="shared" si="15"/>
        <v>50000</v>
      </c>
      <c r="C43" s="256">
        <f t="shared" si="16"/>
        <v>538.68256881573518</v>
      </c>
      <c r="D43" s="256">
        <f t="shared" si="17"/>
        <v>545.18340145656532</v>
      </c>
      <c r="E43" s="256">
        <f t="shared" si="18"/>
        <v>649.50684147760069</v>
      </c>
    </row>
    <row r="44" spans="1:21" ht="15" customHeight="1" x14ac:dyDescent="0.25">
      <c r="A44" t="str">
        <f t="shared" si="15"/>
        <v>UCM Automated</v>
      </c>
      <c r="B44" s="131">
        <f t="shared" si="15"/>
        <v>100000</v>
      </c>
      <c r="C44" s="256">
        <f t="shared" si="16"/>
        <v>881.54541951325939</v>
      </c>
      <c r="D44" s="256">
        <f t="shared" si="17"/>
        <v>884.42548496084839</v>
      </c>
      <c r="E44" s="256">
        <f t="shared" si="18"/>
        <v>988.44822649507273</v>
      </c>
    </row>
    <row r="45" spans="1:21" ht="15" customHeight="1" x14ac:dyDescent="0.25">
      <c r="A45" t="str">
        <f t="shared" si="15"/>
        <v>Deadweight</v>
      </c>
      <c r="B45" s="131">
        <f t="shared" si="15"/>
        <v>350000</v>
      </c>
      <c r="C45" s="256">
        <f t="shared" si="16"/>
        <v>5887.8014448269578</v>
      </c>
      <c r="D45" s="256">
        <f t="shared" si="17"/>
        <v>5887.8014448269578</v>
      </c>
      <c r="E45" s="256">
        <f t="shared" si="18"/>
        <v>5938.4601350394951</v>
      </c>
    </row>
    <row r="46" spans="1:21" ht="15" customHeight="1" x14ac:dyDescent="0.25">
      <c r="A46" t="str">
        <f t="shared" si="15"/>
        <v>Competitor</v>
      </c>
      <c r="B46" s="131">
        <f t="shared" si="15"/>
        <v>55000</v>
      </c>
      <c r="C46" s="256">
        <f t="shared" si="16"/>
        <v>729.41681418738176</v>
      </c>
      <c r="D46" s="256">
        <f t="shared" si="17"/>
        <v>1667.7255912247626</v>
      </c>
      <c r="E46" s="256" t="str">
        <f t="shared" si="18"/>
        <v>N/A</v>
      </c>
    </row>
    <row r="47" spans="1:21" ht="15" customHeight="1" x14ac:dyDescent="0.25">
      <c r="A47" t="str">
        <f t="shared" si="15"/>
        <v>Competitor 2</v>
      </c>
      <c r="B47" s="131">
        <f t="shared" si="15"/>
        <v>40000</v>
      </c>
      <c r="C47" s="256">
        <f t="shared" si="16"/>
        <v>584.74557382061835</v>
      </c>
      <c r="D47" s="256">
        <f t="shared" si="17"/>
        <v>4252.147164557754</v>
      </c>
      <c r="E47" s="256" t="str">
        <f t="shared" si="18"/>
        <v>N/A</v>
      </c>
    </row>
    <row r="48" spans="1:21" ht="15" customHeight="1" x14ac:dyDescent="0.25"/>
    <row r="49" spans="1:7" ht="15" customHeight="1" x14ac:dyDescent="0.25"/>
    <row r="50" spans="1:7" ht="15" customHeight="1" x14ac:dyDescent="0.25">
      <c r="A50" s="263" t="s">
        <v>373</v>
      </c>
    </row>
    <row r="51" spans="1:7" ht="15" customHeight="1" x14ac:dyDescent="0.25">
      <c r="A51" t="s">
        <v>130</v>
      </c>
      <c r="B51" t="s">
        <v>198</v>
      </c>
      <c r="C51" t="s">
        <v>139</v>
      </c>
      <c r="D51" t="s">
        <v>199</v>
      </c>
      <c r="E51" s="264" t="s">
        <v>200</v>
      </c>
    </row>
    <row r="52" spans="1:7" ht="15" customHeight="1" x14ac:dyDescent="0.25">
      <c r="A52" t="str">
        <f t="shared" ref="A52:A58" si="19">A31</f>
        <v>BCM</v>
      </c>
      <c r="B52" s="131">
        <f>MAX(0,IF(Dashboard!$B$15&gt;Dashboard!$W$25,0,G31))</f>
        <v>54102.051527534408</v>
      </c>
      <c r="C52" s="131">
        <f>MAX(0,IF(Dashboard!$B$15&gt;Dashboard!$W$25,0,H31))</f>
        <v>49251.438297347107</v>
      </c>
      <c r="D52" s="131">
        <f>MAX(0,IF(Dashboard!$B$15&gt;Dashboard!$W$25,0,I31))</f>
        <v>32129.801443142846</v>
      </c>
      <c r="E52">
        <f>MAX(0,IF(Dashboard!$B$12="Yes",IF(Dashboard!$B$15&gt;Dashboard!$W$25,0,T31),0))</f>
        <v>54955.900734687544</v>
      </c>
    </row>
    <row r="53" spans="1:7" ht="15" customHeight="1" x14ac:dyDescent="0.25">
      <c r="A53" t="str">
        <f t="shared" si="19"/>
        <v>PCM</v>
      </c>
      <c r="B53" s="131">
        <f>MAX(0,IF(Dashboard!$B$15&gt;Dashboard!$W$26,0,G32))</f>
        <v>56213.618901172624</v>
      </c>
      <c r="C53" s="131">
        <f>MAX(0,IF(Dashboard!$B$15&gt;Dashboard!$W$26,0,H32))</f>
        <v>55391.479606972105</v>
      </c>
      <c r="D53" s="131">
        <f>MAX(0,IF(Dashboard!$B$15&gt;Dashboard!$W$26,0,I32))</f>
        <v>47134.744782874623</v>
      </c>
      <c r="E53">
        <f>MAX(0,IF(Dashboard!$B$12="Yes",IF(Dashboard!$B$15&gt;Dashboard!$W$26,0,T32),0))</f>
        <v>56213.618901172624</v>
      </c>
    </row>
    <row r="54" spans="1:7" ht="15" customHeight="1" x14ac:dyDescent="0.25">
      <c r="A54" t="str">
        <f t="shared" si="19"/>
        <v>UCM Manual</v>
      </c>
      <c r="B54" s="131">
        <f>MAX(0,IF(Dashboard!$B$15&gt;Dashboard!$W$27,0,G33))</f>
        <v>46409.521018957719</v>
      </c>
      <c r="C54" s="131">
        <f>MAX(0,IF(Dashboard!$B$15&gt;Dashboard!$W$27,0,H33))</f>
        <v>45856.128292254609</v>
      </c>
      <c r="D54" s="131">
        <f>MAX(0,IF(Dashboard!$B$15&gt;Dashboard!$W$27,0,I33))</f>
        <v>38490.741595771426</v>
      </c>
      <c r="E54">
        <f>MAX(0,IF(Dashboard!$B$12="Yes",IF(Dashboard!$B$15&gt;Dashboard!$W$27,0,T33),0))</f>
        <v>46409.521018957719</v>
      </c>
    </row>
    <row r="55" spans="1:7" ht="15" customHeight="1" x14ac:dyDescent="0.25">
      <c r="A55" t="str">
        <f t="shared" si="19"/>
        <v>UCM Automated</v>
      </c>
      <c r="B55" s="131">
        <f>MAX(0,IF(Dashboard!$B$15&gt;Dashboard!$W$28,0,G34))</f>
        <v>56718.575008429209</v>
      </c>
      <c r="C55" s="131">
        <f>MAX(0,IF(Dashboard!$B$15&gt;Dashboard!$W$28,0,H34))</f>
        <v>56533.875210768485</v>
      </c>
      <c r="D55" s="131">
        <f>MAX(0,IF(Dashboard!$B$15&gt;Dashboard!$W$28,0,I34))</f>
        <v>50584.338825002924</v>
      </c>
      <c r="E55">
        <f>MAX(0,IF(Dashboard!$B$12="Yes",IF(Dashboard!$B$15&gt;Dashboard!$W$28,0,T34),0))</f>
        <v>57005.715682195732</v>
      </c>
    </row>
    <row r="56" spans="1:7" ht="15" customHeight="1" x14ac:dyDescent="0.25">
      <c r="A56" t="str">
        <f t="shared" si="19"/>
        <v>Deadweight</v>
      </c>
      <c r="B56" s="131">
        <f>MAX(0,IF(Dashboard!$B$15&gt;Dashboard!$W$29,0,G35))</f>
        <v>29722.469692614308</v>
      </c>
      <c r="C56" s="131">
        <f>MAX(0,IF(Dashboard!$B$15&gt;Dashboard!$W$29,0,H35))</f>
        <v>29722.469692614308</v>
      </c>
      <c r="D56" s="131">
        <f>MAX(0,IF(Dashboard!$B$15&gt;Dashboard!$W$29,0,I35))</f>
        <v>29468.91888141571</v>
      </c>
      <c r="E56">
        <f>MAX(0,IF(Dashboard!$B$12="Yes",IF(Dashboard!$B$15&gt;Dashboard!$W$29,0,T35),0))</f>
        <v>29722.469692614308</v>
      </c>
    </row>
    <row r="57" spans="1:7" ht="15" customHeight="1" x14ac:dyDescent="0.25">
      <c r="A57" t="str">
        <f t="shared" si="19"/>
        <v>Competitor</v>
      </c>
      <c r="B57" s="131">
        <f>MAX(0,IF(Dashboard!$B$15&gt;Dashboard!$W$30,0,G36))</f>
        <v>37701.35190897237</v>
      </c>
      <c r="C57" s="131">
        <f>MAX(0,IF(Dashboard!$B$15&gt;Dashboard!$W$30,0,H36))</f>
        <v>16489.52330329371</v>
      </c>
      <c r="D57" s="131">
        <f>MAX(0,IF(Dashboard!$B$15&gt;Dashboard!$W$30,0,I36))</f>
        <v>0</v>
      </c>
      <c r="E57">
        <f>MAX(0,IF(Dashboard!$B$12="Yes",IF(Dashboard!$B$15&gt;Dashboard!$W$30,0,T36),0))</f>
        <v>44955.900734687544</v>
      </c>
    </row>
    <row r="58" spans="1:7" ht="15" customHeight="1" x14ac:dyDescent="0.25">
      <c r="A58" t="str">
        <f t="shared" si="19"/>
        <v>Competitor 2</v>
      </c>
      <c r="B58" s="131">
        <f>MAX(0,IF(Dashboard!$B$15&gt;Dashboard!$W$31,0,G37))</f>
        <v>34202.909599338629</v>
      </c>
      <c r="C58" s="131">
        <f>MAX(0,IF(Dashboard!$B$15&gt;Dashboard!$W$31,0,H37))</f>
        <v>4703.5060702279588</v>
      </c>
      <c r="D58" s="131">
        <f>MAX(0,IF(Dashboard!$B$15&gt;Dashboard!$W$31,0,I37))</f>
        <v>0</v>
      </c>
      <c r="E58">
        <f>MAX(0,IF(Dashboard!$B$12="Yes",IF(Dashboard!$B$15&gt;Dashboard!$W$31,0,T37),0))</f>
        <v>44367.970549092512</v>
      </c>
    </row>
    <row r="59" spans="1:7" ht="15" customHeight="1" x14ac:dyDescent="0.25"/>
    <row r="60" spans="1:7" ht="15" customHeight="1" x14ac:dyDescent="0.25">
      <c r="A60" s="265"/>
      <c r="B60" s="265"/>
      <c r="C60" s="265"/>
      <c r="D60" s="265"/>
      <c r="E60" s="265"/>
      <c r="F60" s="265"/>
      <c r="G60" s="265"/>
    </row>
    <row r="61" spans="1:7" ht="15" customHeight="1" x14ac:dyDescent="0.25">
      <c r="A61" s="265"/>
      <c r="B61" s="265"/>
      <c r="C61" s="265"/>
      <c r="D61" s="265"/>
      <c r="E61" s="265"/>
      <c r="F61" s="265"/>
      <c r="G61" s="265"/>
    </row>
    <row r="62" spans="1:7" ht="15" customHeight="1" x14ac:dyDescent="0.25">
      <c r="A62" s="265"/>
      <c r="B62" s="265"/>
      <c r="C62" s="265"/>
      <c r="D62" s="265"/>
      <c r="E62" s="265"/>
      <c r="F62" s="265"/>
      <c r="G62" s="265"/>
    </row>
    <row r="63" spans="1:7" ht="15" customHeight="1" x14ac:dyDescent="0.25">
      <c r="A63" s="265"/>
      <c r="B63" s="265"/>
      <c r="C63" s="265"/>
      <c r="D63" s="269"/>
      <c r="E63" s="265"/>
      <c r="F63" s="265"/>
      <c r="G63" s="265"/>
    </row>
    <row r="64" spans="1:7" ht="15" customHeight="1" x14ac:dyDescent="0.25">
      <c r="A64" s="265"/>
      <c r="B64" s="265"/>
      <c r="C64" s="265"/>
      <c r="D64" s="265"/>
      <c r="E64" s="265"/>
      <c r="F64" s="265"/>
      <c r="G64" s="265"/>
    </row>
    <row r="65" spans="1:7" ht="15" customHeight="1" x14ac:dyDescent="0.25">
      <c r="A65" s="291"/>
      <c r="B65" s="291"/>
      <c r="C65" s="291"/>
      <c r="D65" s="291"/>
      <c r="E65" s="265"/>
      <c r="F65" s="265"/>
      <c r="G65" s="265"/>
    </row>
    <row r="66" spans="1:7" ht="15" customHeight="1" x14ac:dyDescent="0.25">
      <c r="A66" s="292"/>
      <c r="B66" s="293"/>
      <c r="C66" s="294"/>
      <c r="D66" s="295"/>
      <c r="E66" s="265"/>
      <c r="F66" s="265"/>
      <c r="G66" s="265"/>
    </row>
    <row r="67" spans="1:7" ht="15" customHeight="1" x14ac:dyDescent="0.25">
      <c r="A67" s="292"/>
      <c r="B67" s="293"/>
      <c r="C67" s="294"/>
      <c r="D67" s="295"/>
      <c r="E67" s="265"/>
      <c r="F67" s="265"/>
      <c r="G67" s="265"/>
    </row>
    <row r="68" spans="1:7" ht="15" customHeight="1" x14ac:dyDescent="0.25">
      <c r="A68" s="292"/>
      <c r="B68" s="293"/>
      <c r="C68" s="294"/>
      <c r="D68" s="295"/>
      <c r="E68" s="265"/>
      <c r="F68" s="265"/>
      <c r="G68" s="265"/>
    </row>
    <row r="69" spans="1:7" ht="15" customHeight="1" x14ac:dyDescent="0.25">
      <c r="A69" s="292"/>
      <c r="B69" s="293"/>
      <c r="C69" s="294"/>
      <c r="D69" s="295"/>
      <c r="E69" s="265"/>
      <c r="F69" s="265"/>
      <c r="G69" s="265"/>
    </row>
    <row r="70" spans="1:7" ht="15" customHeight="1" x14ac:dyDescent="0.25">
      <c r="A70" s="292"/>
      <c r="B70" s="293"/>
      <c r="C70" s="294"/>
      <c r="D70" s="295"/>
      <c r="E70" s="265"/>
      <c r="F70" s="265"/>
      <c r="G70" s="265"/>
    </row>
    <row r="71" spans="1:7" ht="15" customHeight="1" x14ac:dyDescent="0.25">
      <c r="A71" s="292"/>
      <c r="B71" s="293"/>
      <c r="C71" s="294"/>
      <c r="D71" s="295"/>
      <c r="E71" s="265"/>
      <c r="F71" s="265"/>
      <c r="G71" s="265"/>
    </row>
    <row r="72" spans="1:7" ht="15" customHeight="1" x14ac:dyDescent="0.25">
      <c r="A72" s="292"/>
      <c r="B72" s="293"/>
      <c r="C72" s="294"/>
      <c r="D72" s="295"/>
      <c r="E72" s="265"/>
      <c r="F72" s="265"/>
      <c r="G72" s="265"/>
    </row>
    <row r="73" spans="1:7" ht="15" customHeight="1" x14ac:dyDescent="0.25">
      <c r="A73" s="292"/>
      <c r="B73" s="293"/>
      <c r="C73" s="292"/>
      <c r="D73" s="294"/>
      <c r="E73" s="265"/>
      <c r="F73" s="265"/>
      <c r="G73" s="265"/>
    </row>
    <row r="74" spans="1:7" ht="15" customHeight="1" x14ac:dyDescent="0.25">
      <c r="A74" s="265"/>
      <c r="B74" s="265"/>
      <c r="C74" s="265"/>
      <c r="D74" s="265"/>
      <c r="E74" s="265"/>
      <c r="F74" s="265"/>
      <c r="G74" s="265"/>
    </row>
    <row r="75" spans="1:7" ht="15" customHeight="1" x14ac:dyDescent="0.25">
      <c r="A75" s="265"/>
      <c r="B75" s="296"/>
      <c r="C75" s="265"/>
      <c r="D75" s="265"/>
      <c r="E75" s="265"/>
      <c r="F75" s="265"/>
      <c r="G75" s="265"/>
    </row>
    <row r="76" spans="1:7" ht="15" customHeight="1" x14ac:dyDescent="0.25">
      <c r="A76" s="265"/>
      <c r="B76" s="265"/>
      <c r="C76" s="265"/>
      <c r="D76" s="265"/>
      <c r="E76" s="265"/>
      <c r="F76" s="265"/>
      <c r="G76" s="265"/>
    </row>
    <row r="77" spans="1:7" ht="15" customHeight="1" x14ac:dyDescent="0.25">
      <c r="A77" s="265"/>
      <c r="B77" s="265"/>
      <c r="C77" s="265"/>
      <c r="D77" s="265"/>
      <c r="E77" s="265"/>
      <c r="F77" s="265"/>
      <c r="G77" s="265"/>
    </row>
    <row r="78" spans="1:7" ht="15" customHeight="1" x14ac:dyDescent="0.25">
      <c r="A78" t="s">
        <v>130</v>
      </c>
      <c r="B78" t="s">
        <v>193</v>
      </c>
      <c r="C78" t="s">
        <v>194</v>
      </c>
      <c r="D78" t="s">
        <v>195</v>
      </c>
      <c r="E78" s="264" t="s">
        <v>196</v>
      </c>
    </row>
    <row r="79" spans="1:7" ht="15" customHeight="1" x14ac:dyDescent="0.25">
      <c r="A79" t="str">
        <f t="shared" ref="A79:A85" si="20">A31</f>
        <v>BCM</v>
      </c>
      <c r="B79" s="129">
        <f>IF(Dashboard!$B$15&gt;Dashboard!$W$25,0,IF(AND(ISNUMBER(J31),J31&lt;20),J31,0))</f>
        <v>0.46208968595722538</v>
      </c>
      <c r="C79" s="129">
        <f>IF(Dashboard!$B$15&gt;Dashboard!$W$25,0,IF(AND(ISNUMBER(K31),K31&lt;20),K31,0))</f>
        <v>0.50759938926182802</v>
      </c>
      <c r="D79" s="129">
        <f>IF(Dashboard!$B$15&gt;Dashboard!$W$25,0,IF(AND(ISNUMBER(L31),L31&lt;20),L31,0))</f>
        <v>0.7780938218445016</v>
      </c>
      <c r="E79">
        <f>IF(Dashboard!$B$12="Yes",IF(Dashboard!$B$15&gt;Dashboard!$W$25,0,IF(AND(ISNUMBER(U31),U31&lt;20),U31,0)),0)</f>
        <v>0.45491020374123869</v>
      </c>
    </row>
    <row r="80" spans="1:7" ht="15" customHeight="1" x14ac:dyDescent="0.25">
      <c r="A80" t="str">
        <f t="shared" si="20"/>
        <v>PCM</v>
      </c>
      <c r="B80" s="129">
        <f>IF(Dashboard!$B$15&gt;Dashboard!$W$26,0,IF(AND(ISNUMBER(J32),J32&lt;20),J32,0))</f>
        <v>0.62262492051138685</v>
      </c>
      <c r="C80" s="129">
        <f>IF(Dashboard!$B$15&gt;Dashboard!$W$26,0,IF(AND(ISNUMBER(K32),K32&lt;20),K32,0))</f>
        <v>0.63186613263160718</v>
      </c>
      <c r="D80" s="129">
        <f>IF(Dashboard!$B$15&gt;Dashboard!$W$26,0,IF(AND(ISNUMBER(L32),L32&lt;20),L32,0))</f>
        <v>0.74255202104576756</v>
      </c>
      <c r="E80">
        <f>IF(Dashboard!$B$12="Yes",IF(Dashboard!$B$15&gt;Dashboard!$W$26,0,IF(AND(ISNUMBER(U32),U32&lt;20),U32,0)),0)</f>
        <v>0.62262492051138685</v>
      </c>
    </row>
    <row r="81" spans="1:9" ht="15" customHeight="1" x14ac:dyDescent="0.25">
      <c r="A81" t="str">
        <f t="shared" si="20"/>
        <v>UCM Manual</v>
      </c>
      <c r="B81" s="129">
        <f>IF(Dashboard!$B$15&gt;Dashboard!$W$27,0,IF(AND(ISNUMBER(J33),J33&lt;20),J33,0))</f>
        <v>1.0773651376314703</v>
      </c>
      <c r="C81" s="129">
        <f>IF(Dashboard!$B$15&gt;Dashboard!$W$27,0,IF(AND(ISNUMBER(K33),K33&lt;20),K33,0))</f>
        <v>1.0903668029131304</v>
      </c>
      <c r="D81" s="129">
        <f>IF(Dashboard!$B$15&gt;Dashboard!$W$27,0,IF(AND(ISNUMBER(L33),L33&lt;20),L33,0))</f>
        <v>1.2990136829552013</v>
      </c>
      <c r="E81">
        <f>IF(Dashboard!$B$12="Yes",IF(Dashboard!$B$15&gt;Dashboard!$W$27,0,IF(AND(ISNUMBER(U33),U33&lt;20),U33,0)),0)</f>
        <v>1.0773651376314703</v>
      </c>
    </row>
    <row r="82" spans="1:9" ht="15" customHeight="1" x14ac:dyDescent="0.25">
      <c r="A82" t="str">
        <f t="shared" si="20"/>
        <v>UCM Automated</v>
      </c>
      <c r="B82" s="129">
        <f>IF(Dashboard!$B$15&gt;Dashboard!$W$28,0,IF(AND(ISNUMBER(J34),J34&lt;20),J34,0))</f>
        <v>1.763090839026519</v>
      </c>
      <c r="C82" s="129">
        <f>IF(Dashboard!$B$15&gt;Dashboard!$W$28,0,IF(AND(ISNUMBER(K34),K34&lt;20),K34,0))</f>
        <v>1.7688509699216968</v>
      </c>
      <c r="D82" s="129">
        <f>IF(Dashboard!$B$15&gt;Dashboard!$W$28,0,IF(AND(ISNUMBER(L34),L34&lt;20),L34,0))</f>
        <v>1.9768964529901458</v>
      </c>
      <c r="E82">
        <f>IF(Dashboard!$B$12="Yes",IF(Dashboard!$B$15&gt;Dashboard!$W$28,0,IF(AND(ISNUMBER(U34),U34&lt;20),U34,0)),0)</f>
        <v>1.7542100612769331</v>
      </c>
    </row>
    <row r="83" spans="1:9" ht="15" customHeight="1" x14ac:dyDescent="0.25">
      <c r="A83" t="str">
        <f t="shared" si="20"/>
        <v>Deadweight</v>
      </c>
      <c r="B83" s="129">
        <f>IF(Dashboard!$B$15&gt;Dashboard!$W$29,0,IF(AND(ISNUMBER(J35),J35&lt;20),J35,0))</f>
        <v>11.775602889653916</v>
      </c>
      <c r="C83" s="129">
        <f>IF(Dashboard!$B$15&gt;Dashboard!$W$29,0,IF(AND(ISNUMBER(K35),K35&lt;20),K35,0))</f>
        <v>11.775602889653916</v>
      </c>
      <c r="D83" s="129">
        <f>IF(Dashboard!$B$15&gt;Dashboard!$W$29,0,IF(AND(ISNUMBER(L35),L35&lt;20),L35,0))</f>
        <v>11.876920270078999</v>
      </c>
      <c r="E83">
        <f>IF(Dashboard!$B$12="Yes",IF(Dashboard!$B$15&gt;Dashboard!$W$29,0,IF(AND(ISNUMBER(U35),U35&lt;20),U35,0)),0)</f>
        <v>11.775602889653916</v>
      </c>
    </row>
    <row r="84" spans="1:9" ht="15" customHeight="1" x14ac:dyDescent="0.25">
      <c r="A84" t="str">
        <f t="shared" si="20"/>
        <v>Competitor</v>
      </c>
      <c r="B84" s="129">
        <f>IF(Dashboard!$B$15&gt;Dashboard!$W$30,0,IF(AND(ISNUMBER(J36),J36&lt;20),J36,0))</f>
        <v>1.458833628374764</v>
      </c>
      <c r="C84" s="129">
        <f>IF(Dashboard!$B$15&gt;Dashboard!$W$30,0,IF(AND(ISNUMBER(K36),K36&lt;20),K36,0))</f>
        <v>3.3354511824495248</v>
      </c>
      <c r="D84" s="129">
        <f>IF(Dashboard!$B$15&gt;Dashboard!$W$30,0,IF(AND(ISNUMBER(L36),L36&lt;20),L36,0))</f>
        <v>0</v>
      </c>
      <c r="E84">
        <f>IF(Dashboard!$B$12="Yes",IF(Dashboard!$B$15&gt;Dashboard!$W$30,0,IF(AND(ISNUMBER(U36),U36&lt;20),U36,0)),0)</f>
        <v>1.223421154980052</v>
      </c>
    </row>
    <row r="85" spans="1:9" ht="15" customHeight="1" x14ac:dyDescent="0.25">
      <c r="A85" t="str">
        <f t="shared" si="20"/>
        <v>Competitor 2</v>
      </c>
      <c r="B85" s="129">
        <f>IF(Dashboard!$B$15&gt;Dashboard!$W$31,0,IF(AND(ISNUMBER(J37),J37&lt;20),J37,0))</f>
        <v>1.1694911476412366</v>
      </c>
      <c r="C85" s="129">
        <f>IF(Dashboard!$B$15&gt;Dashboard!$W$31,0,IF(AND(ISNUMBER(K37),K37&lt;20),K37,0))</f>
        <v>8.504294329115508</v>
      </c>
      <c r="D85" s="129">
        <f>IF(Dashboard!$B$15&gt;Dashboard!$W$31,0,IF(AND(ISNUMBER(L37),L37&lt;20),L37,0))</f>
        <v>0</v>
      </c>
      <c r="E85">
        <f>IF(Dashboard!$B$12="Yes",IF(Dashboard!$B$15&gt;Dashboard!$W$31,0,IF(AND(ISNUMBER(U37),U37&lt;20),U37,0)),0)</f>
        <v>0.90155126558562293</v>
      </c>
    </row>
    <row r="86" spans="1:9" ht="15" customHeight="1" x14ac:dyDescent="0.25"/>
    <row r="87" spans="1:9" ht="15" customHeight="1" x14ac:dyDescent="0.25"/>
    <row r="88" spans="1:9" ht="15" customHeight="1" x14ac:dyDescent="0.25">
      <c r="A88" s="162" t="s">
        <v>374</v>
      </c>
    </row>
    <row r="89" spans="1:9" ht="15" customHeight="1" x14ac:dyDescent="0.25">
      <c r="A89" s="200" t="s">
        <v>130</v>
      </c>
      <c r="B89" s="200" t="s">
        <v>132</v>
      </c>
      <c r="C89" s="200" t="s">
        <v>375</v>
      </c>
      <c r="D89" s="200" t="s">
        <v>132</v>
      </c>
      <c r="E89" s="200" t="s">
        <v>376</v>
      </c>
      <c r="F89" s="200" t="s">
        <v>132</v>
      </c>
      <c r="G89" s="200" t="s">
        <v>377</v>
      </c>
      <c r="H89" s="200" t="s">
        <v>132</v>
      </c>
      <c r="I89" s="200" t="s">
        <v>367</v>
      </c>
    </row>
    <row r="90" spans="1:9" ht="15" customHeight="1" x14ac:dyDescent="0.25">
      <c r="A90" t="str">
        <f t="shared" ref="A90:A96" si="21">A31</f>
        <v>BCM</v>
      </c>
      <c r="B90" s="129">
        <f>Dashboard!D25</f>
        <v>2</v>
      </c>
      <c r="C90" s="131">
        <f t="shared" ref="C90:C96" si="22">G31</f>
        <v>54102.051527534408</v>
      </c>
      <c r="D90" s="129">
        <f>Dashboard!D25</f>
        <v>2</v>
      </c>
      <c r="E90" s="131">
        <f t="shared" ref="E90:E96" si="23">H31</f>
        <v>49251.438297347107</v>
      </c>
      <c r="F90" s="129">
        <f>Dashboard!D25</f>
        <v>2</v>
      </c>
      <c r="G90" s="131">
        <f t="shared" ref="G90:G96" si="24">I31</f>
        <v>32129.801443142846</v>
      </c>
      <c r="H90" s="129">
        <f>Dashboard!D25</f>
        <v>2</v>
      </c>
      <c r="I90" s="131">
        <f>IF(Dashboard!$B$12="Yes",T31,"")</f>
        <v>54955.900734687544</v>
      </c>
    </row>
    <row r="91" spans="1:9" ht="15" customHeight="1" x14ac:dyDescent="0.25">
      <c r="A91" t="str">
        <f t="shared" si="21"/>
        <v>PCM</v>
      </c>
      <c r="B91" s="129">
        <f>Dashboard!D26</f>
        <v>3.0303030303030303</v>
      </c>
      <c r="C91" s="131">
        <f t="shared" si="22"/>
        <v>56213.618901172624</v>
      </c>
      <c r="D91" s="129">
        <f>Dashboard!D26</f>
        <v>3.0303030303030303</v>
      </c>
      <c r="E91" s="131">
        <f t="shared" si="23"/>
        <v>55391.479606972105</v>
      </c>
      <c r="F91" s="129">
        <f>Dashboard!D26</f>
        <v>3.0303030303030303</v>
      </c>
      <c r="G91" s="131">
        <f t="shared" si="24"/>
        <v>47134.744782874623</v>
      </c>
      <c r="H91" s="129">
        <f>Dashboard!D26</f>
        <v>3.0303030303030303</v>
      </c>
      <c r="I91" s="131">
        <f>IF(Dashboard!$B$12="Yes",T32,"")</f>
        <v>56213.618901172624</v>
      </c>
    </row>
    <row r="92" spans="1:9" ht="15" customHeight="1" x14ac:dyDescent="0.25">
      <c r="A92" t="str">
        <f t="shared" si="21"/>
        <v>UCM Manual</v>
      </c>
      <c r="B92" s="129">
        <f>Dashboard!D27</f>
        <v>3.3333333333333335</v>
      </c>
      <c r="C92" s="131">
        <f t="shared" si="22"/>
        <v>46409.521018957719</v>
      </c>
      <c r="D92" s="129">
        <f>Dashboard!D27</f>
        <v>3.3333333333333335</v>
      </c>
      <c r="E92" s="131">
        <f t="shared" si="23"/>
        <v>45856.128292254609</v>
      </c>
      <c r="F92" s="129">
        <f>Dashboard!D27</f>
        <v>3.3333333333333335</v>
      </c>
      <c r="G92" s="131">
        <f t="shared" si="24"/>
        <v>38490.741595771426</v>
      </c>
      <c r="H92" s="129">
        <f>Dashboard!D27</f>
        <v>3.3333333333333335</v>
      </c>
      <c r="I92" s="131">
        <f>IF(Dashboard!$B$12="Yes",T33,"")</f>
        <v>46409.521018957719</v>
      </c>
    </row>
    <row r="93" spans="1:9" ht="15" customHeight="1" x14ac:dyDescent="0.25">
      <c r="A93" t="str">
        <f t="shared" si="21"/>
        <v>UCM Automated</v>
      </c>
      <c r="B93" s="129">
        <f>Dashboard!D28</f>
        <v>5</v>
      </c>
      <c r="C93" s="131">
        <f t="shared" si="22"/>
        <v>56718.575008429209</v>
      </c>
      <c r="D93" s="129">
        <f>Dashboard!D28</f>
        <v>5</v>
      </c>
      <c r="E93" s="131">
        <f t="shared" si="23"/>
        <v>56533.875210768485</v>
      </c>
      <c r="F93" s="129">
        <f>Dashboard!D28</f>
        <v>5</v>
      </c>
      <c r="G93" s="131">
        <f t="shared" si="24"/>
        <v>50584.338825002924</v>
      </c>
      <c r="H93" s="129">
        <f>Dashboard!D28</f>
        <v>5</v>
      </c>
      <c r="I93" s="131">
        <f>IF(Dashboard!$B$12="Yes",T34,"")</f>
        <v>57005.715682195732</v>
      </c>
    </row>
    <row r="94" spans="1:9" ht="15" customHeight="1" x14ac:dyDescent="0.25">
      <c r="A94" t="str">
        <f t="shared" si="21"/>
        <v>Deadweight</v>
      </c>
      <c r="B94" s="129">
        <f>Dashboard!D29</f>
        <v>50</v>
      </c>
      <c r="C94" s="131">
        <f t="shared" si="22"/>
        <v>29722.469692614308</v>
      </c>
      <c r="D94" s="129">
        <f>Dashboard!D29</f>
        <v>50</v>
      </c>
      <c r="E94" s="131">
        <f t="shared" si="23"/>
        <v>29722.469692614308</v>
      </c>
      <c r="F94" s="129">
        <f>Dashboard!D29</f>
        <v>50</v>
      </c>
      <c r="G94" s="131">
        <f t="shared" si="24"/>
        <v>29468.91888141571</v>
      </c>
      <c r="H94" s="129">
        <f>Dashboard!D29</f>
        <v>50</v>
      </c>
      <c r="I94" s="131">
        <f>IF(Dashboard!$B$12="Yes",T35,"")</f>
        <v>29722.469692614308</v>
      </c>
    </row>
    <row r="95" spans="1:9" ht="15" customHeight="1" x14ac:dyDescent="0.25">
      <c r="A95" t="str">
        <f t="shared" si="21"/>
        <v>Competitor</v>
      </c>
      <c r="B95" s="129">
        <f>Dashboard!D30</f>
        <v>2</v>
      </c>
      <c r="C95" s="131">
        <f t="shared" si="22"/>
        <v>37701.35190897237</v>
      </c>
      <c r="D95" s="129">
        <f>Dashboard!D30</f>
        <v>2</v>
      </c>
      <c r="E95" s="131">
        <f t="shared" si="23"/>
        <v>16489.52330329371</v>
      </c>
      <c r="F95" s="129">
        <f>Dashboard!D30</f>
        <v>2</v>
      </c>
      <c r="G95" s="131">
        <f t="shared" si="24"/>
        <v>-3916.6666666666715</v>
      </c>
      <c r="H95" s="129">
        <f>Dashboard!D30</f>
        <v>2</v>
      </c>
      <c r="I95" s="131">
        <f>IF(Dashboard!$B$12="Yes",T36,"")</f>
        <v>44955.900734687544</v>
      </c>
    </row>
    <row r="96" spans="1:9" ht="15" customHeight="1" x14ac:dyDescent="0.25">
      <c r="A96" t="str">
        <f t="shared" si="21"/>
        <v>Competitor 2</v>
      </c>
      <c r="B96" s="129">
        <f>Dashboard!D31</f>
        <v>1.6666666666666667</v>
      </c>
      <c r="C96" s="131">
        <f t="shared" si="22"/>
        <v>34202.909599338629</v>
      </c>
      <c r="D96" s="129">
        <f>Dashboard!D31</f>
        <v>1.6666666666666667</v>
      </c>
      <c r="E96" s="131">
        <f t="shared" si="23"/>
        <v>4703.5060702279588</v>
      </c>
      <c r="F96" s="129">
        <f>Dashboard!D31</f>
        <v>1.6666666666666667</v>
      </c>
      <c r="G96" s="131">
        <f t="shared" si="24"/>
        <v>-3916.6666666666715</v>
      </c>
      <c r="H96" s="129">
        <f>Dashboard!D31</f>
        <v>1.6666666666666667</v>
      </c>
      <c r="I96" s="131">
        <f>IF(Dashboard!$B$12="Yes",T37,"")</f>
        <v>44367.970549092512</v>
      </c>
    </row>
    <row r="97" spans="1:3" ht="15" customHeight="1" x14ac:dyDescent="0.25">
      <c r="A97" s="173" t="s">
        <v>378</v>
      </c>
      <c r="B97">
        <v>0</v>
      </c>
      <c r="C97">
        <v>0</v>
      </c>
    </row>
    <row r="98" spans="1:3" ht="15" customHeight="1" x14ac:dyDescent="0.25">
      <c r="B98">
        <v>60</v>
      </c>
      <c r="C98">
        <v>0</v>
      </c>
    </row>
    <row r="99" spans="1:3" ht="15" customHeight="1" x14ac:dyDescent="0.25">
      <c r="A99" s="173" t="s">
        <v>379</v>
      </c>
    </row>
    <row r="100" spans="1:3" ht="15" customHeight="1" x14ac:dyDescent="0.25"/>
    <row r="101" spans="1:3" ht="15" customHeight="1" x14ac:dyDescent="0.25"/>
    <row r="102" spans="1:3" ht="15" customHeight="1" x14ac:dyDescent="0.25"/>
    <row r="103" spans="1:3" ht="15" customHeight="1" x14ac:dyDescent="0.25">
      <c r="A103" s="164" t="s">
        <v>273</v>
      </c>
    </row>
    <row r="104" spans="1:3" ht="15" customHeight="1" x14ac:dyDescent="0.25">
      <c r="A104" s="155" t="s">
        <v>380</v>
      </c>
    </row>
    <row r="105" spans="1:3" ht="15" customHeight="1" x14ac:dyDescent="0.25">
      <c r="A105" s="155" t="s">
        <v>381</v>
      </c>
    </row>
    <row r="106" spans="1:3" ht="15" customHeight="1" x14ac:dyDescent="0.25">
      <c r="A106" s="155" t="s">
        <v>382</v>
      </c>
    </row>
    <row r="107" spans="1:3" ht="15" customHeight="1" x14ac:dyDescent="0.25">
      <c r="A107" s="155" t="s">
        <v>383</v>
      </c>
    </row>
    <row r="108" spans="1:3" ht="15" customHeight="1" x14ac:dyDescent="0.25">
      <c r="A108" s="155" t="s">
        <v>384</v>
      </c>
    </row>
    <row r="109" spans="1:3" ht="15" customHeight="1" x14ac:dyDescent="0.25">
      <c r="A109" s="297" t="s">
        <v>385</v>
      </c>
    </row>
  </sheetData>
  <sheetProtection sheet="1" objects="1" scenarios="1" sort="0" autoFilter="0"/>
  <pageMargins left="0.5" right="0.5" top="0.75" bottom="0.75" header="0.5" footer="0.5"/>
  <pageSetup orientation="landscape" horizontalDpi="300" verticalDpi="300"/>
  <headerFooter>
    <oddHeader>&amp;C&amp;8 Morehouse Instrument Company — True Cost Calculator</oddHeader>
    <oddFooter>&amp;LConfidential&amp;R&amp;8 &amp;P of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6573B"/>
  </sheetPr>
  <dimension ref="A1:K15"/>
  <sheetViews>
    <sheetView zoomScaleNormal="100" workbookViewId="0">
      <selection activeCell="A13" sqref="A13"/>
    </sheetView>
  </sheetViews>
  <sheetFormatPr defaultColWidth="8.7109375" defaultRowHeight="15" x14ac:dyDescent="0.25"/>
  <cols>
    <col min="1" max="8" width="18" customWidth="1"/>
  </cols>
  <sheetData>
    <row r="1" spans="1:11" ht="15" customHeight="1" x14ac:dyDescent="0.3">
      <c r="A1" s="229" t="s">
        <v>386</v>
      </c>
    </row>
    <row r="2" spans="1:11" ht="15" customHeight="1" x14ac:dyDescent="0.25">
      <c r="A2" t="s">
        <v>387</v>
      </c>
    </row>
    <row r="3" spans="1:11" ht="15" customHeight="1" x14ac:dyDescent="0.25"/>
    <row r="4" spans="1:11" ht="15" customHeight="1" x14ac:dyDescent="0.25"/>
    <row r="5" spans="1:11" ht="15" customHeight="1" x14ac:dyDescent="0.25">
      <c r="A5" s="298" t="s">
        <v>132</v>
      </c>
      <c r="B5" s="298" t="s">
        <v>158</v>
      </c>
      <c r="C5" s="298" t="s">
        <v>167</v>
      </c>
      <c r="D5" s="298" t="s">
        <v>388</v>
      </c>
      <c r="E5" s="298" t="s">
        <v>389</v>
      </c>
      <c r="F5" s="298" t="s">
        <v>163</v>
      </c>
      <c r="G5" s="298" t="s">
        <v>390</v>
      </c>
      <c r="H5" s="298" t="s">
        <v>391</v>
      </c>
      <c r="I5" s="264" t="s">
        <v>392</v>
      </c>
      <c r="J5" s="200" t="s">
        <v>393</v>
      </c>
      <c r="K5" s="200" t="s">
        <v>394</v>
      </c>
    </row>
    <row r="6" spans="1:11" ht="15" customHeight="1" x14ac:dyDescent="0.25">
      <c r="A6">
        <v>1.5</v>
      </c>
      <c r="B6">
        <f>Dashboard!$B$16/A6</f>
        <v>1.3333333333333333</v>
      </c>
      <c r="C6">
        <f>MIN(0.98*B6,Dashboard!$B$16)</f>
        <v>1.3066666666666666</v>
      </c>
      <c r="D6" s="130">
        <f>IF(Dashboard!$B$16=0,0,C6/Dashboard!$B$16)</f>
        <v>0.65333333333333332</v>
      </c>
      <c r="E6">
        <f>MAX(0,Dashboard!$B$16-C6)</f>
        <v>0.69333333333333336</v>
      </c>
      <c r="F6">
        <f>IF(A6&lt;=0,0,MIN(B6*MAX(0,1.04-EXP(0.38*LN(A6)-0.54)),Dashboard!$B$16))</f>
        <v>0.48023640799058054</v>
      </c>
      <c r="G6" s="130">
        <f>IF(Dashboard!$B$16=0,0,F6/Dashboard!$B$16)</f>
        <v>0.24011820399529027</v>
      </c>
      <c r="H6">
        <f>MAX(0,Dashboard!$B$16-F6)</f>
        <v>1.5197635920094195</v>
      </c>
      <c r="I6" s="132">
        <v>0</v>
      </c>
      <c r="J6" s="130">
        <v>0</v>
      </c>
      <c r="K6" s="132">
        <f>Dashboard!$B$16</f>
        <v>2</v>
      </c>
    </row>
    <row r="7" spans="1:11" ht="15" customHeight="1" x14ac:dyDescent="0.25">
      <c r="A7">
        <v>2</v>
      </c>
      <c r="B7">
        <f>Dashboard!$B$16/A7</f>
        <v>1</v>
      </c>
      <c r="C7">
        <f>MIN(0.98*B7,Dashboard!$B$16)</f>
        <v>0.98</v>
      </c>
      <c r="D7" s="130">
        <f>IF(Dashboard!$B$16=0,0,C7/Dashboard!$B$16)</f>
        <v>0.49</v>
      </c>
      <c r="E7">
        <f>MAX(0,Dashboard!$B$16-C7)</f>
        <v>1.02</v>
      </c>
      <c r="F7">
        <f>IF(A7&lt;=0,0,MIN(B7*MAX(0,1.04-EXP(0.38*LN(A7)-0.54)),Dashboard!$B$16))</f>
        <v>0.28164530800008813</v>
      </c>
      <c r="G7" s="130">
        <f>IF(Dashboard!$B$16=0,0,F7/Dashboard!$B$16)</f>
        <v>0.14082265400004407</v>
      </c>
      <c r="H7">
        <f>MAX(0,Dashboard!$B$16-F7)</f>
        <v>1.7183546919999118</v>
      </c>
      <c r="I7" s="132">
        <v>0</v>
      </c>
      <c r="J7" s="130">
        <v>0</v>
      </c>
      <c r="K7" s="132">
        <f>Dashboard!$B$16</f>
        <v>2</v>
      </c>
    </row>
    <row r="8" spans="1:11" ht="15" customHeight="1" x14ac:dyDescent="0.25">
      <c r="A8">
        <v>2.5</v>
      </c>
      <c r="B8">
        <f>Dashboard!$B$16/A8</f>
        <v>0.8</v>
      </c>
      <c r="C8">
        <f>MIN(0.98*B8,Dashboard!$B$16)</f>
        <v>0.78400000000000003</v>
      </c>
      <c r="D8" s="130">
        <f>IF(Dashboard!$B$16=0,0,C8/Dashboard!$B$16)</f>
        <v>0.39200000000000002</v>
      </c>
      <c r="E8">
        <f>MAX(0,Dashboard!$B$16-C8)</f>
        <v>1.216</v>
      </c>
      <c r="F8">
        <f>IF(A8&lt;=0,0,MIN(B8*MAX(0,1.04-EXP(0.38*LN(A8)-0.54)),Dashboard!$B$16))</f>
        <v>0.17162873091298653</v>
      </c>
      <c r="G8" s="130">
        <f>IF(Dashboard!$B$16=0,0,F8/Dashboard!$B$16)</f>
        <v>8.5814365456493263E-2</v>
      </c>
      <c r="H8">
        <f>MAX(0,Dashboard!$B$16-F8)</f>
        <v>1.8283712690870135</v>
      </c>
      <c r="I8" s="132">
        <v>0</v>
      </c>
      <c r="J8" s="130">
        <v>0</v>
      </c>
      <c r="K8" s="132">
        <f>Dashboard!$B$16</f>
        <v>2</v>
      </c>
    </row>
    <row r="9" spans="1:11" ht="15" customHeight="1" x14ac:dyDescent="0.25">
      <c r="A9">
        <v>3</v>
      </c>
      <c r="B9">
        <f>Dashboard!$B$16/A9</f>
        <v>0.66666666666666663</v>
      </c>
      <c r="C9">
        <f>MIN(0.98*B9,Dashboard!$B$16)</f>
        <v>0.65333333333333332</v>
      </c>
      <c r="D9" s="130">
        <f>IF(Dashboard!$B$16=0,0,C9/Dashboard!$B$16)</f>
        <v>0.32666666666666666</v>
      </c>
      <c r="E9">
        <f>MAX(0,Dashboard!$B$16-C9)</f>
        <v>1.3466666666666667</v>
      </c>
      <c r="F9">
        <f>IF(A9&lt;=0,0,MIN(B9*MAX(0,1.04-EXP(0.38*LN(A9)-0.54)),Dashboard!$B$16))</f>
        <v>0.10354551600620843</v>
      </c>
      <c r="G9" s="130">
        <f>IF(Dashboard!$B$16=0,0,F9/Dashboard!$B$16)</f>
        <v>5.1772758003104213E-2</v>
      </c>
      <c r="H9">
        <f>MAX(0,Dashboard!$B$16-F9)</f>
        <v>1.8964544839937916</v>
      </c>
      <c r="I9" s="132">
        <v>0</v>
      </c>
      <c r="J9" s="130">
        <v>0</v>
      </c>
      <c r="K9" s="132">
        <f>Dashboard!$B$16</f>
        <v>2</v>
      </c>
    </row>
    <row r="10" spans="1:11" ht="15" customHeight="1" x14ac:dyDescent="0.25">
      <c r="A10">
        <v>3.5</v>
      </c>
      <c r="B10">
        <f>Dashboard!$B$16/A10</f>
        <v>0.5714285714285714</v>
      </c>
      <c r="C10">
        <f>MIN(0.98*B10,Dashboard!$B$16)</f>
        <v>0.55999999999999994</v>
      </c>
      <c r="D10" s="130">
        <f>IF(Dashboard!$B$16=0,0,C10/Dashboard!$B$16)</f>
        <v>0.27999999999999997</v>
      </c>
      <c r="E10">
        <f>MAX(0,Dashboard!$B$16-C10)</f>
        <v>1.44</v>
      </c>
      <c r="F10">
        <f>IF(A10&lt;=0,0,MIN(B10*MAX(0,1.04-EXP(0.38*LN(A10)-0.54)),Dashboard!$B$16))</f>
        <v>5.8256095177149865E-2</v>
      </c>
      <c r="G10" s="130">
        <f>IF(Dashboard!$B$16=0,0,F10/Dashboard!$B$16)</f>
        <v>2.9128047588574933E-2</v>
      </c>
      <c r="H10">
        <f>MAX(0,Dashboard!$B$16-F10)</f>
        <v>1.9417439048228502</v>
      </c>
      <c r="I10" s="132">
        <v>0</v>
      </c>
      <c r="J10" s="130">
        <v>0</v>
      </c>
      <c r="K10" s="132">
        <f>Dashboard!$B$16</f>
        <v>2</v>
      </c>
    </row>
    <row r="11" spans="1:11" ht="15" customHeight="1" x14ac:dyDescent="0.25">
      <c r="A11">
        <v>4</v>
      </c>
      <c r="B11">
        <f>Dashboard!$B$16/A11</f>
        <v>0.5</v>
      </c>
      <c r="C11">
        <f>MIN(0.98*B11,Dashboard!$B$16)</f>
        <v>0.49</v>
      </c>
      <c r="D11" s="130">
        <f>IF(Dashboard!$B$16=0,0,C11/Dashboard!$B$16)</f>
        <v>0.245</v>
      </c>
      <c r="E11">
        <f>MAX(0,Dashboard!$B$16-C11)</f>
        <v>1.51</v>
      </c>
      <c r="F11">
        <f>IF(A11&lt;=0,0,MIN(B11*MAX(0,1.04-EXP(0.38*LN(A11)-0.54)),Dashboard!$B$16))</f>
        <v>2.656064901486932E-2</v>
      </c>
      <c r="G11" s="130">
        <f>IF(Dashboard!$B$16=0,0,F11/Dashboard!$B$16)</f>
        <v>1.328032450743466E-2</v>
      </c>
      <c r="H11">
        <f>MAX(0,Dashboard!$B$16-F11)</f>
        <v>1.9734393509851307</v>
      </c>
      <c r="I11" s="132">
        <v>0</v>
      </c>
      <c r="J11" s="130">
        <v>0</v>
      </c>
      <c r="K11" s="132">
        <f>Dashboard!$B$16</f>
        <v>2</v>
      </c>
    </row>
    <row r="12" spans="1:11" ht="15" customHeight="1" x14ac:dyDescent="0.25">
      <c r="A12">
        <v>4.5999999999999996</v>
      </c>
      <c r="B12">
        <f>Dashboard!$B$16/A12</f>
        <v>0.43478260869565222</v>
      </c>
      <c r="C12">
        <f>MIN(0.98*B12,Dashboard!$B$16)</f>
        <v>0.42608695652173917</v>
      </c>
      <c r="D12" s="130">
        <f>IF(Dashboard!$B$16=0,0,C12/Dashboard!$B$16)</f>
        <v>0.21304347826086958</v>
      </c>
      <c r="E12">
        <f>MAX(0,Dashboard!$B$16-C12)</f>
        <v>1.5739130434782609</v>
      </c>
      <c r="F12">
        <f>IF(A12&lt;=0,0,MIN(B12*MAX(0,1.04-EXP(0.38*LN(A12)-0.54)),Dashboard!$B$16))</f>
        <v>0</v>
      </c>
      <c r="G12" s="130">
        <f>IF(Dashboard!$B$16=0,0,F12/Dashboard!$B$16)</f>
        <v>0</v>
      </c>
      <c r="H12">
        <f>MAX(0,Dashboard!$B$16-F12)</f>
        <v>2</v>
      </c>
      <c r="I12" s="132">
        <v>0</v>
      </c>
      <c r="J12" s="130">
        <v>0</v>
      </c>
      <c r="K12" s="132">
        <f>Dashboard!$B$16</f>
        <v>2</v>
      </c>
    </row>
    <row r="13" spans="1:11" ht="15" customHeight="1" x14ac:dyDescent="0.25">
      <c r="A13">
        <v>5</v>
      </c>
      <c r="B13">
        <f>Dashboard!$B$16/A13</f>
        <v>0.4</v>
      </c>
      <c r="C13">
        <f>MIN(0.98*B13,Dashboard!$B$16)</f>
        <v>0.39200000000000002</v>
      </c>
      <c r="D13" s="130">
        <f>IF(Dashboard!$B$16=0,0,C13/Dashboard!$B$16)</f>
        <v>0.19600000000000001</v>
      </c>
      <c r="E13">
        <f>MAX(0,Dashboard!$B$16-C13)</f>
        <v>1.6080000000000001</v>
      </c>
      <c r="F13">
        <f>IF(A13&lt;=0,0,MIN(B13*MAX(0,1.04-EXP(0.38*LN(A13)-0.54)),Dashboard!$B$16))</f>
        <v>0</v>
      </c>
      <c r="G13" s="130">
        <f>IF(Dashboard!$B$16=0,0,F13/Dashboard!$B$16)</f>
        <v>0</v>
      </c>
      <c r="H13">
        <f>MAX(0,Dashboard!$B$16-F13)</f>
        <v>2</v>
      </c>
      <c r="I13" s="132">
        <v>0</v>
      </c>
      <c r="J13" s="130">
        <v>0</v>
      </c>
      <c r="K13" s="132">
        <f>Dashboard!$B$16</f>
        <v>2</v>
      </c>
    </row>
    <row r="14" spans="1:11" ht="15" customHeight="1" x14ac:dyDescent="0.25">
      <c r="A14">
        <v>10</v>
      </c>
      <c r="B14">
        <f>Dashboard!$B$16/A14</f>
        <v>0.2</v>
      </c>
      <c r="C14">
        <f>MIN(0.98*B14,Dashboard!$B$16)</f>
        <v>0.19600000000000001</v>
      </c>
      <c r="D14" s="130">
        <f>IF(Dashboard!$B$16=0,0,C14/Dashboard!$B$16)</f>
        <v>9.8000000000000004E-2</v>
      </c>
      <c r="E14">
        <f>MAX(0,Dashboard!$B$16-C14)</f>
        <v>1.804</v>
      </c>
      <c r="F14">
        <f>IF(A14&lt;=0,0,MIN(B14*MAX(0,1.04-EXP(0.38*LN(A14)-0.54)),Dashboard!$B$16))</f>
        <v>0</v>
      </c>
      <c r="G14" s="130">
        <f>IF(Dashboard!$B$16=0,0,F14/Dashboard!$B$16)</f>
        <v>0</v>
      </c>
      <c r="H14">
        <f>MAX(0,Dashboard!$B$16-F14)</f>
        <v>2</v>
      </c>
      <c r="I14" s="132">
        <v>0</v>
      </c>
      <c r="J14" s="130">
        <v>0</v>
      </c>
      <c r="K14" s="132">
        <f>Dashboard!$B$16</f>
        <v>2</v>
      </c>
    </row>
    <row r="15" spans="1:11" ht="15" customHeight="1" x14ac:dyDescent="0.25">
      <c r="A15">
        <v>24</v>
      </c>
      <c r="B15">
        <f>Dashboard!$B$16/A15</f>
        <v>8.3333333333333329E-2</v>
      </c>
      <c r="C15">
        <f>MIN(0.98*B15,Dashboard!$B$16)</f>
        <v>8.1666666666666665E-2</v>
      </c>
      <c r="D15" s="130">
        <f>IF(Dashboard!$B$16=0,0,C15/Dashboard!$B$16)</f>
        <v>4.0833333333333333E-2</v>
      </c>
      <c r="E15">
        <f>MAX(0,Dashboard!$B$16-C15)</f>
        <v>1.9183333333333334</v>
      </c>
      <c r="F15">
        <f>IF(A15&lt;=0,0,MIN(B15*MAX(0,1.04-EXP(0.38*LN(A15)-0.54)),Dashboard!$B$16))</f>
        <v>0</v>
      </c>
      <c r="G15" s="130">
        <f>IF(Dashboard!$B$16=0,0,F15/Dashboard!$B$16)</f>
        <v>0</v>
      </c>
      <c r="H15">
        <f>MAX(0,Dashboard!$B$16-F15)</f>
        <v>2</v>
      </c>
      <c r="I15" s="132">
        <v>0</v>
      </c>
      <c r="J15" s="130">
        <v>0</v>
      </c>
      <c r="K15" s="132">
        <f>Dashboard!$B$16</f>
        <v>2</v>
      </c>
    </row>
  </sheetData>
  <sheetProtection sheet="1" objects="1" scenarios="1" sort="0" autoFilter="0"/>
  <pageMargins left="0.5" right="0.5" top="0.75" bottom="0.75" header="0.5" footer="0.5"/>
  <pageSetup orientation="landscape" horizontalDpi="300" verticalDpi="300"/>
  <headerFooter>
    <oddHeader>&amp;C&amp;8 Morehouse Instrument Company — True Cost Calculator</oddHeader>
    <oddFooter>&amp;LConfidential&amp;R&amp;8 &amp;P of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6573B"/>
  </sheetPr>
  <dimension ref="A1:R25"/>
  <sheetViews>
    <sheetView zoomScaleNormal="100" workbookViewId="0">
      <selection activeCell="A13" sqref="A13"/>
    </sheetView>
  </sheetViews>
  <sheetFormatPr defaultColWidth="8.7109375" defaultRowHeight="15" x14ac:dyDescent="0.25"/>
  <cols>
    <col min="1" max="1" width="73.5703125" customWidth="1"/>
    <col min="2" max="18" width="15" customWidth="1"/>
  </cols>
  <sheetData>
    <row r="1" spans="1:18" ht="15" customHeight="1" x14ac:dyDescent="0.3">
      <c r="A1" s="229" t="s">
        <v>395</v>
      </c>
    </row>
    <row r="2" spans="1:18" ht="15" customHeight="1" x14ac:dyDescent="0.25">
      <c r="A2" t="s">
        <v>396</v>
      </c>
    </row>
    <row r="3" spans="1:18" ht="15" customHeight="1" x14ac:dyDescent="0.25"/>
    <row r="4" spans="1:18" ht="15" customHeight="1" x14ac:dyDescent="0.25">
      <c r="A4" s="278" t="s">
        <v>308</v>
      </c>
    </row>
    <row r="5" spans="1:18" ht="15" customHeight="1" x14ac:dyDescent="0.25">
      <c r="A5" t="s">
        <v>397</v>
      </c>
      <c r="B5" s="5">
        <f>Dashboard!B19</f>
        <v>30</v>
      </c>
    </row>
    <row r="6" spans="1:18" ht="15" customHeight="1" x14ac:dyDescent="0.25">
      <c r="A6" t="s">
        <v>398</v>
      </c>
      <c r="B6" s="5">
        <f>Dashboard!B21</f>
        <v>2000</v>
      </c>
    </row>
    <row r="7" spans="1:18" ht="15" customHeight="1" x14ac:dyDescent="0.25">
      <c r="A7" t="s">
        <v>399</v>
      </c>
      <c r="B7" s="4">
        <v>2.5</v>
      </c>
    </row>
    <row r="8" spans="1:18" ht="15" customHeight="1" x14ac:dyDescent="0.25"/>
    <row r="9" spans="1:18" ht="15" customHeight="1" x14ac:dyDescent="0.25"/>
    <row r="10" spans="1:18" ht="37.5" customHeight="1" x14ac:dyDescent="0.25">
      <c r="A10" s="247" t="s">
        <v>400</v>
      </c>
      <c r="B10" s="247" t="s">
        <v>401</v>
      </c>
      <c r="C10" s="247" t="s">
        <v>294</v>
      </c>
      <c r="D10" s="247" t="s">
        <v>402</v>
      </c>
      <c r="E10" s="247" t="s">
        <v>403</v>
      </c>
      <c r="F10" s="247" t="s">
        <v>404</v>
      </c>
      <c r="G10" s="247" t="s">
        <v>405</v>
      </c>
      <c r="H10" s="247" t="s">
        <v>406</v>
      </c>
      <c r="I10" s="247" t="s">
        <v>169</v>
      </c>
      <c r="J10" s="247" t="s">
        <v>170</v>
      </c>
      <c r="K10" s="247" t="s">
        <v>165</v>
      </c>
      <c r="L10" s="247" t="s">
        <v>166</v>
      </c>
      <c r="M10" s="247" t="s">
        <v>407</v>
      </c>
      <c r="N10" s="247" t="s">
        <v>408</v>
      </c>
      <c r="O10" s="247" t="s">
        <v>409</v>
      </c>
      <c r="P10" s="247" t="s">
        <v>161</v>
      </c>
      <c r="Q10" s="247" t="s">
        <v>162</v>
      </c>
      <c r="R10" s="247" t="s">
        <v>410</v>
      </c>
    </row>
    <row r="11" spans="1:18" ht="15" customHeight="1" x14ac:dyDescent="0.25">
      <c r="A11" s="277">
        <v>0.05</v>
      </c>
      <c r="B11">
        <v>1</v>
      </c>
      <c r="C11">
        <v>0</v>
      </c>
      <c r="D11" s="131">
        <f>C11*($B$5/60)*Dashboard!$B$7</f>
        <v>0</v>
      </c>
      <c r="E11" s="131">
        <f>IF(Dashboard!$B$18="Yes",D11*Dashboard!$B$10,0)</f>
        <v>0</v>
      </c>
      <c r="F11" s="131">
        <f>B11*$B$6</f>
        <v>2000</v>
      </c>
      <c r="G11">
        <f>$B$7</f>
        <v>2.5</v>
      </c>
      <c r="H11" s="242">
        <v>3</v>
      </c>
      <c r="I11" s="190">
        <f>'Risk Calc'!J57</f>
        <v>0.18892200390525116</v>
      </c>
      <c r="J11" s="131">
        <f>'Risk Calc'!J94</f>
        <v>11020.450227806317</v>
      </c>
      <c r="K11" s="190">
        <f>'Risk Calc'!J90</f>
        <v>4.5648570003057221E-2</v>
      </c>
      <c r="L11" s="131">
        <f>'Risk Calc'!J95</f>
        <v>2662.8332501783379</v>
      </c>
      <c r="M11" s="131">
        <f>E11+F11+J11</f>
        <v>13020.450227806317</v>
      </c>
      <c r="N11" s="131">
        <f>E11+F11+L11</f>
        <v>4662.8332501783379</v>
      </c>
      <c r="O11">
        <f>B11</f>
        <v>1</v>
      </c>
      <c r="P11" s="190">
        <f>'Risk Calc'!J220</f>
        <v>3.1005130191303798E-2</v>
      </c>
      <c r="Q11" s="131">
        <f>'Risk Calc'!J222</f>
        <v>1808.6325944927216</v>
      </c>
      <c r="R11" s="131">
        <f>E11+F11+Q11</f>
        <v>3808.6325944927216</v>
      </c>
    </row>
    <row r="12" spans="1:18" ht="15" customHeight="1" x14ac:dyDescent="0.25">
      <c r="A12" s="277">
        <v>0.1</v>
      </c>
      <c r="B12">
        <v>2</v>
      </c>
      <c r="C12">
        <v>1</v>
      </c>
      <c r="D12" s="131">
        <f>C12*($B$5/60)*Dashboard!$B$7</f>
        <v>100</v>
      </c>
      <c r="E12" s="131">
        <f>IF(Dashboard!$B$18="Yes",D12*Dashboard!$B$10,0)</f>
        <v>0</v>
      </c>
      <c r="F12" s="131">
        <f>B12*$B$6</f>
        <v>4000</v>
      </c>
      <c r="G12">
        <f>$B$7</f>
        <v>2.5</v>
      </c>
      <c r="H12" s="242">
        <v>4</v>
      </c>
      <c r="I12" s="190">
        <f>'Risk Calc'!K57</f>
        <v>0.12712562014280693</v>
      </c>
      <c r="J12" s="131">
        <f>'Risk Calc'!K94</f>
        <v>7415.6611749970707</v>
      </c>
      <c r="K12" s="190">
        <f>'Risk Calc'!K90</f>
        <v>2.5133567815397218E-2</v>
      </c>
      <c r="L12" s="131">
        <f>'Risk Calc'!K95</f>
        <v>1466.1247892315043</v>
      </c>
      <c r="M12" s="131">
        <f>E12+F12+J12</f>
        <v>11415.661174997071</v>
      </c>
      <c r="N12" s="131">
        <f>E12+F12+L12</f>
        <v>5466.1247892315041</v>
      </c>
      <c r="O12">
        <f>B12</f>
        <v>2</v>
      </c>
      <c r="P12" s="190">
        <f>'Risk Calc'!K220</f>
        <v>2.1967285569784889E-2</v>
      </c>
      <c r="Q12" s="131">
        <f>'Risk Calc'!K222</f>
        <v>1281.4249915707851</v>
      </c>
      <c r="R12" s="131">
        <f>E12+F12+Q12</f>
        <v>5281.4249915707851</v>
      </c>
    </row>
    <row r="13" spans="1:18" ht="15" customHeight="1" x14ac:dyDescent="0.25">
      <c r="A13" s="277">
        <v>0.2</v>
      </c>
      <c r="B13">
        <v>3</v>
      </c>
      <c r="C13">
        <v>2</v>
      </c>
      <c r="D13" s="131">
        <f>C13*($B$5/60)*Dashboard!$B$7</f>
        <v>200</v>
      </c>
      <c r="E13" s="131">
        <f>IF(Dashboard!$B$18="Yes",D13*Dashboard!$B$10,0)</f>
        <v>0</v>
      </c>
      <c r="F13" s="131">
        <f>B13*$B$6</f>
        <v>6000</v>
      </c>
      <c r="G13">
        <f>$B$7</f>
        <v>2.5</v>
      </c>
      <c r="H13" s="242">
        <v>5</v>
      </c>
      <c r="I13" s="190">
        <f>'Risk Calc'!L57</f>
        <v>9.4853871422974523E-2</v>
      </c>
      <c r="J13" s="131">
        <f>'Risk Calc'!L94</f>
        <v>5533.1424996735141</v>
      </c>
      <c r="K13" s="190">
        <f>'Risk Calc'!L90</f>
        <v>1.704487401950161E-2</v>
      </c>
      <c r="L13" s="131">
        <f>'Risk Calc'!L95</f>
        <v>994.28431780426058</v>
      </c>
      <c r="M13" s="131">
        <f>E13+F13+J13</f>
        <v>11533.142499673515</v>
      </c>
      <c r="N13" s="131">
        <f>E13+F13+L13</f>
        <v>6994.2843178042604</v>
      </c>
      <c r="O13">
        <f>B13</f>
        <v>3</v>
      </c>
      <c r="P13" s="190">
        <f>'Risk Calc'!L220</f>
        <v>1.704487401950161E-2</v>
      </c>
      <c r="Q13" s="131">
        <f>'Risk Calc'!L222</f>
        <v>994.28431780426058</v>
      </c>
      <c r="R13" s="131">
        <f>E13+F13+Q13</f>
        <v>6994.2843178042604</v>
      </c>
    </row>
    <row r="14" spans="1:18" ht="15" customHeight="1" x14ac:dyDescent="0.25">
      <c r="A14" t="s">
        <v>182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</row>
    <row r="15" spans="1:18" ht="15" customHeight="1" x14ac:dyDescent="0.25"/>
    <row r="16" spans="1:18" ht="15" customHeight="1" x14ac:dyDescent="0.25">
      <c r="A16" s="156" t="s">
        <v>273</v>
      </c>
    </row>
    <row r="17" spans="1:5" ht="15" customHeight="1" x14ac:dyDescent="0.25">
      <c r="A17" t="s">
        <v>411</v>
      </c>
    </row>
    <row r="18" spans="1:5" ht="15" customHeight="1" x14ac:dyDescent="0.25">
      <c r="A18" t="s">
        <v>412</v>
      </c>
    </row>
    <row r="19" spans="1:5" ht="15" customHeight="1" x14ac:dyDescent="0.25"/>
    <row r="20" spans="1:5" ht="15" customHeight="1" x14ac:dyDescent="0.25">
      <c r="A20" s="198" t="s">
        <v>188</v>
      </c>
    </row>
    <row r="21" spans="1:5" ht="15" customHeight="1" x14ac:dyDescent="0.25">
      <c r="A21" s="264" t="s">
        <v>413</v>
      </c>
      <c r="B21" s="264" t="s">
        <v>414</v>
      </c>
      <c r="C21" s="264" t="s">
        <v>415</v>
      </c>
      <c r="D21" s="264" t="s">
        <v>416</v>
      </c>
      <c r="E21" s="264" t="s">
        <v>417</v>
      </c>
    </row>
    <row r="22" spans="1:5" ht="15" customHeight="1" x14ac:dyDescent="0.25">
      <c r="A22" t="s">
        <v>209</v>
      </c>
      <c r="B22" s="131">
        <f t="shared" ref="B22:C24" si="0">E11</f>
        <v>0</v>
      </c>
      <c r="C22" s="131">
        <f t="shared" si="0"/>
        <v>2000</v>
      </c>
      <c r="D22" s="131">
        <f>L11</f>
        <v>2662.8332501783379</v>
      </c>
      <c r="E22" s="131">
        <f>N11</f>
        <v>4662.8332501783379</v>
      </c>
    </row>
    <row r="23" spans="1:5" ht="15" customHeight="1" x14ac:dyDescent="0.25">
      <c r="A23" t="s">
        <v>210</v>
      </c>
      <c r="B23" s="131">
        <f t="shared" si="0"/>
        <v>0</v>
      </c>
      <c r="C23" s="131">
        <f t="shared" si="0"/>
        <v>4000</v>
      </c>
      <c r="D23" s="131">
        <f>L12</f>
        <v>1466.1247892315043</v>
      </c>
      <c r="E23" s="131">
        <f>N12</f>
        <v>5466.1247892315041</v>
      </c>
    </row>
    <row r="24" spans="1:5" ht="15" customHeight="1" x14ac:dyDescent="0.25">
      <c r="A24" t="s">
        <v>211</v>
      </c>
      <c r="B24" s="131">
        <f t="shared" si="0"/>
        <v>0</v>
      </c>
      <c r="C24" s="131">
        <f t="shared" si="0"/>
        <v>6000</v>
      </c>
      <c r="D24" s="131">
        <f>L13</f>
        <v>994.28431780426058</v>
      </c>
      <c r="E24" s="131">
        <f>N13</f>
        <v>6994.2843178042604</v>
      </c>
    </row>
    <row r="25" spans="1:5" ht="15" customHeight="1" x14ac:dyDescent="0.25">
      <c r="A25" t="s">
        <v>182</v>
      </c>
      <c r="B25" s="131">
        <v>0</v>
      </c>
      <c r="C25" s="131">
        <v>0</v>
      </c>
      <c r="D25" s="131">
        <f>L14</f>
        <v>0</v>
      </c>
      <c r="E25" s="131">
        <f>N14</f>
        <v>0</v>
      </c>
    </row>
  </sheetData>
  <sheetProtection sheet="1" objects="1" scenarios="1" sort="0" autoFilter="0"/>
  <pageMargins left="0.5" right="0.5" top="0.75" bottom="0.75" header="0.5" footer="0.5"/>
  <pageSetup orientation="landscape" horizontalDpi="300" verticalDpi="300"/>
  <headerFooter>
    <oddHeader>&amp;C&amp;8 Morehouse Instrument Company — True Cost Calculator</oddHeader>
    <oddFooter>&amp;LConfidential&amp;R&amp;8 &amp;P of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36573B"/>
  </sheetPr>
  <dimension ref="A1:AT431"/>
  <sheetViews>
    <sheetView zoomScaleNormal="100" workbookViewId="0">
      <selection activeCell="C12" sqref="C12"/>
    </sheetView>
  </sheetViews>
  <sheetFormatPr defaultColWidth="8.7109375" defaultRowHeight="15" x14ac:dyDescent="0.25"/>
  <cols>
    <col min="1" max="1" width="26" customWidth="1"/>
    <col min="2" max="8" width="18" customWidth="1"/>
    <col min="9" max="29" width="14" customWidth="1"/>
  </cols>
  <sheetData>
    <row r="1" spans="1:12" ht="15" customHeight="1" x14ac:dyDescent="0.25">
      <c r="A1" s="299" t="s">
        <v>418</v>
      </c>
    </row>
    <row r="2" spans="1:12" ht="15" customHeight="1" x14ac:dyDescent="0.25">
      <c r="A2" t="s">
        <v>419</v>
      </c>
    </row>
    <row r="3" spans="1:12" ht="15" customHeight="1" x14ac:dyDescent="0.25"/>
    <row r="4" spans="1:12" ht="15" customHeight="1" x14ac:dyDescent="0.25">
      <c r="A4" s="230" t="s">
        <v>420</v>
      </c>
    </row>
    <row r="5" spans="1:12" ht="15" customHeight="1" x14ac:dyDescent="0.25">
      <c r="A5" t="s">
        <v>421</v>
      </c>
      <c r="B5" s="132">
        <f>Dashboard!B16</f>
        <v>2</v>
      </c>
    </row>
    <row r="6" spans="1:12" ht="15" customHeight="1" x14ac:dyDescent="0.25">
      <c r="A6" t="s">
        <v>39</v>
      </c>
      <c r="B6" s="130">
        <f>Dashboard!B11</f>
        <v>0.89</v>
      </c>
    </row>
    <row r="7" spans="1:12" ht="15" customHeight="1" x14ac:dyDescent="0.25">
      <c r="A7" t="s">
        <v>300</v>
      </c>
      <c r="B7">
        <f>B5/NORMSINV((1+B6)/2)</f>
        <v>1.2514132053505038</v>
      </c>
    </row>
    <row r="8" spans="1:12" ht="15" customHeight="1" x14ac:dyDescent="0.25">
      <c r="A8" t="s">
        <v>422</v>
      </c>
      <c r="B8">
        <f>Dashboard!B10</f>
        <v>500</v>
      </c>
    </row>
    <row r="9" spans="1:12" ht="15" customHeight="1" x14ac:dyDescent="0.25">
      <c r="A9" t="s">
        <v>423</v>
      </c>
      <c r="B9" s="131">
        <f>Dashboard!B9</f>
        <v>116.66666666666667</v>
      </c>
    </row>
    <row r="10" spans="1:12" ht="15" customHeight="1" x14ac:dyDescent="0.25"/>
    <row r="11" spans="1:12" ht="15" customHeight="1" x14ac:dyDescent="0.25">
      <c r="A11" s="230" t="s">
        <v>424</v>
      </c>
    </row>
    <row r="12" spans="1:12" ht="15" customHeight="1" x14ac:dyDescent="0.25">
      <c r="A12" t="s">
        <v>425</v>
      </c>
      <c r="B12">
        <v>-1.0950081470333</v>
      </c>
    </row>
    <row r="13" spans="1:12" ht="15" customHeight="1" x14ac:dyDescent="0.25">
      <c r="A13" t="s">
        <v>426</v>
      </c>
      <c r="B13">
        <v>-0.75651138383854</v>
      </c>
    </row>
    <row r="14" spans="1:12" ht="15" customHeight="1" x14ac:dyDescent="0.25"/>
    <row r="15" spans="1:12" ht="15" customHeight="1" x14ac:dyDescent="0.25">
      <c r="A15" s="300" t="s">
        <v>130</v>
      </c>
      <c r="C15" s="263" t="s">
        <v>178</v>
      </c>
      <c r="D15" s="263" t="s">
        <v>179</v>
      </c>
      <c r="E15" s="263" t="s">
        <v>180</v>
      </c>
      <c r="F15" s="263" t="s">
        <v>181</v>
      </c>
      <c r="G15" s="263" t="s">
        <v>182</v>
      </c>
      <c r="H15" s="263" t="s">
        <v>427</v>
      </c>
      <c r="J15" s="301" t="s">
        <v>428</v>
      </c>
      <c r="K15" s="301" t="s">
        <v>429</v>
      </c>
      <c r="L15" s="301" t="s">
        <v>430</v>
      </c>
    </row>
    <row r="16" spans="1:12" ht="15" customHeight="1" x14ac:dyDescent="0.25">
      <c r="A16" s="300" t="s">
        <v>131</v>
      </c>
      <c r="C16" s="302">
        <f>Dashboard!B25</f>
        <v>5.0000000000000001E-4</v>
      </c>
      <c r="D16" s="302">
        <f>Dashboard!B26</f>
        <v>3.3E-4</v>
      </c>
      <c r="E16" s="302">
        <f>Dashboard!B27</f>
        <v>2.9999999999999997E-4</v>
      </c>
      <c r="F16" s="302">
        <f>Dashboard!B28</f>
        <v>2.0000000000000001E-4</v>
      </c>
      <c r="G16" s="302">
        <f>Dashboard!B29</f>
        <v>2.0000000000000002E-5</v>
      </c>
      <c r="H16" s="302">
        <f>Dashboard!B30</f>
        <v>5.0000000000000001E-4</v>
      </c>
      <c r="J16">
        <v>0</v>
      </c>
      <c r="K16">
        <v>0</v>
      </c>
      <c r="L16">
        <v>0</v>
      </c>
    </row>
    <row r="17" spans="1:12" ht="15" customHeight="1" x14ac:dyDescent="0.25">
      <c r="A17" s="300" t="s">
        <v>158</v>
      </c>
      <c r="C17" s="233">
        <f>C16*Dashboard!$B$15</f>
        <v>1</v>
      </c>
      <c r="D17" s="233">
        <f>D16*Dashboard!$B$15</f>
        <v>0.66</v>
      </c>
      <c r="E17" s="233">
        <f>E16*Dashboard!$B$15</f>
        <v>0.6</v>
      </c>
      <c r="F17" s="233">
        <f>F16*Dashboard!$B$15</f>
        <v>0.4</v>
      </c>
      <c r="G17" s="233">
        <f>G16*Dashboard!$B$15</f>
        <v>0.04</v>
      </c>
      <c r="H17" s="233">
        <f>H16*Dashboard!$B$15</f>
        <v>1</v>
      </c>
      <c r="J17" s="233">
        <f>$B$5/3</f>
        <v>0.66666666666666663</v>
      </c>
      <c r="K17" s="233">
        <f>$B$5/4</f>
        <v>0.5</v>
      </c>
      <c r="L17" s="233">
        <f>$B$5/5</f>
        <v>0.4</v>
      </c>
    </row>
    <row r="18" spans="1:12" ht="15" customHeight="1" x14ac:dyDescent="0.25">
      <c r="A18" s="300" t="s">
        <v>431</v>
      </c>
      <c r="C18">
        <f>C17/2</f>
        <v>0.5</v>
      </c>
      <c r="D18">
        <f t="shared" ref="D18:H18" si="0">D17/2</f>
        <v>0.33</v>
      </c>
      <c r="E18">
        <f t="shared" si="0"/>
        <v>0.3</v>
      </c>
      <c r="F18">
        <f t="shared" si="0"/>
        <v>0.2</v>
      </c>
      <c r="G18">
        <f t="shared" si="0"/>
        <v>0.02</v>
      </c>
      <c r="H18">
        <f t="shared" si="0"/>
        <v>0.5</v>
      </c>
      <c r="J18">
        <f>J17/2</f>
        <v>0.33333333333333331</v>
      </c>
      <c r="K18">
        <f>K17/2</f>
        <v>0.25</v>
      </c>
      <c r="L18">
        <f>L17/2</f>
        <v>0.2</v>
      </c>
    </row>
    <row r="19" spans="1:12" ht="15" customHeight="1" x14ac:dyDescent="0.25">
      <c r="A19" s="300" t="s">
        <v>132</v>
      </c>
      <c r="C19" s="129">
        <f t="shared" ref="C19:H19" si="1">IF(C17=0,999,$B$5/C17)</f>
        <v>2</v>
      </c>
      <c r="D19" s="129">
        <f t="shared" si="1"/>
        <v>3.0303030303030303</v>
      </c>
      <c r="E19" s="129">
        <f t="shared" si="1"/>
        <v>3.3333333333333335</v>
      </c>
      <c r="F19" s="129">
        <f t="shared" si="1"/>
        <v>5</v>
      </c>
      <c r="G19" s="129">
        <f t="shared" si="1"/>
        <v>50</v>
      </c>
      <c r="H19" s="129">
        <f t="shared" si="1"/>
        <v>2</v>
      </c>
      <c r="J19">
        <v>3</v>
      </c>
      <c r="K19">
        <v>4</v>
      </c>
      <c r="L19">
        <v>5</v>
      </c>
    </row>
    <row r="20" spans="1:12" ht="15" customHeight="1" x14ac:dyDescent="0.25">
      <c r="A20" s="300" t="s">
        <v>432</v>
      </c>
      <c r="C20">
        <f t="shared" ref="C20:H20" si="2">SQRT(C18^2+$B$7^2)</f>
        <v>1.3476034322179586</v>
      </c>
      <c r="D20">
        <f t="shared" si="2"/>
        <v>1.2941928026865326</v>
      </c>
      <c r="E20">
        <f t="shared" si="2"/>
        <v>1.2868702384178532</v>
      </c>
      <c r="F20">
        <f t="shared" si="2"/>
        <v>1.2672943661697633</v>
      </c>
      <c r="G20">
        <f t="shared" si="2"/>
        <v>1.2515730144604518</v>
      </c>
      <c r="H20">
        <f t="shared" si="2"/>
        <v>1.3476034322179586</v>
      </c>
      <c r="J20">
        <f>SQRT(J18^2+$B$7^2)</f>
        <v>1.2950467642663464</v>
      </c>
      <c r="K20">
        <f>SQRT(K18^2+$B$7^2)</f>
        <v>1.2761406703516749</v>
      </c>
      <c r="L20">
        <f>SQRT(L18^2+$B$7^2)</f>
        <v>1.2672943661697633</v>
      </c>
    </row>
    <row r="21" spans="1:12" ht="15" customHeight="1" x14ac:dyDescent="0.25">
      <c r="A21" s="300" t="s">
        <v>433</v>
      </c>
      <c r="C21">
        <f t="shared" ref="C21:H21" si="3">SQRT($B$7^2/($B$7^2+C18^2))</f>
        <v>0.92862126604327522</v>
      </c>
      <c r="D21">
        <f t="shared" si="3"/>
        <v>0.96694495808721448</v>
      </c>
      <c r="E21">
        <f t="shared" si="3"/>
        <v>0.97244707973747058</v>
      </c>
      <c r="F21">
        <f t="shared" si="3"/>
        <v>0.98746845149540252</v>
      </c>
      <c r="G21">
        <f t="shared" si="3"/>
        <v>0.99987231339434335</v>
      </c>
      <c r="H21">
        <f t="shared" si="3"/>
        <v>0.92862126604327522</v>
      </c>
      <c r="J21">
        <f>SQRT($B$7^2/($B$7^2+J18^2))</f>
        <v>0.96630734880021019</v>
      </c>
      <c r="K21">
        <f>SQRT($B$7^2/($B$7^2+K18^2))</f>
        <v>0.98062324508915089</v>
      </c>
      <c r="L21">
        <f>SQRT($B$7^2/($B$7^2+L18^2))</f>
        <v>0.98746845149540252</v>
      </c>
    </row>
    <row r="22" spans="1:12" ht="15" customHeight="1" x14ac:dyDescent="0.25">
      <c r="A22" s="300" t="s">
        <v>434</v>
      </c>
      <c r="C22">
        <f t="shared" ref="C22:H22" si="4">SQRT(1-C21^2)</f>
        <v>0.37102903424420131</v>
      </c>
      <c r="D22">
        <f t="shared" si="4"/>
        <v>0.25498519178516033</v>
      </c>
      <c r="E22">
        <f t="shared" si="4"/>
        <v>0.23312373776616052</v>
      </c>
      <c r="F22">
        <f t="shared" si="4"/>
        <v>0.15781653050701572</v>
      </c>
      <c r="G22">
        <f t="shared" si="4"/>
        <v>1.5979890720654154E-2</v>
      </c>
      <c r="H22">
        <f t="shared" si="4"/>
        <v>0.37102903424420131</v>
      </c>
      <c r="J22">
        <f>SQRT(1-J21^2)</f>
        <v>0.25739096265158368</v>
      </c>
      <c r="K22">
        <f>SQRT(1-K21^2)</f>
        <v>0.19590316789379175</v>
      </c>
      <c r="L22">
        <f>SQRT(1-L21^2)</f>
        <v>0.15781653050701572</v>
      </c>
    </row>
    <row r="23" spans="1:12" ht="15" customHeight="1" x14ac:dyDescent="0.25">
      <c r="A23" s="300" t="s">
        <v>435</v>
      </c>
      <c r="C23">
        <f t="shared" ref="C23:H23" si="5">-C21/C22</f>
        <v>-2.5028264107010068</v>
      </c>
      <c r="D23">
        <f t="shared" si="5"/>
        <v>-3.792161228334864</v>
      </c>
      <c r="E23">
        <f t="shared" si="5"/>
        <v>-4.1713773511683447</v>
      </c>
      <c r="F23">
        <f t="shared" si="5"/>
        <v>-6.2570660267525318</v>
      </c>
      <c r="G23">
        <f t="shared" si="5"/>
        <v>-62.570660267532325</v>
      </c>
      <c r="H23">
        <f t="shared" si="5"/>
        <v>-2.5028264107010068</v>
      </c>
      <c r="J23">
        <f>-J21/J22</f>
        <v>-3.7542396160515104</v>
      </c>
      <c r="K23">
        <f>-K21/K22</f>
        <v>-5.0056528214020126</v>
      </c>
      <c r="L23">
        <f>-L21/L22</f>
        <v>-6.2570660267525318</v>
      </c>
    </row>
    <row r="24" spans="1:12" ht="15" customHeight="1" x14ac:dyDescent="0.25"/>
    <row r="25" spans="1:12" ht="15" customHeight="1" x14ac:dyDescent="0.25">
      <c r="A25" s="300" t="s">
        <v>436</v>
      </c>
      <c r="C25">
        <f t="shared" ref="C25:H25" si="6">0.98*C17</f>
        <v>0.98</v>
      </c>
      <c r="D25">
        <f t="shared" si="6"/>
        <v>0.64680000000000004</v>
      </c>
      <c r="E25">
        <f t="shared" si="6"/>
        <v>0.58799999999999997</v>
      </c>
      <c r="F25">
        <f t="shared" si="6"/>
        <v>0.39200000000000002</v>
      </c>
      <c r="G25">
        <f t="shared" si="6"/>
        <v>3.9199999999999999E-2</v>
      </c>
      <c r="H25">
        <f t="shared" si="6"/>
        <v>0.98</v>
      </c>
      <c r="J25">
        <f>0.98*J17</f>
        <v>0.65333333333333332</v>
      </c>
      <c r="K25">
        <f>0.98*K17</f>
        <v>0.49</v>
      </c>
      <c r="L25">
        <f>0.98*L17</f>
        <v>0.39200000000000002</v>
      </c>
    </row>
    <row r="26" spans="1:12" ht="15" customHeight="1" x14ac:dyDescent="0.25">
      <c r="A26" s="300" t="s">
        <v>437</v>
      </c>
      <c r="C26">
        <f t="shared" ref="C26:H26" si="7">$B$5-C25</f>
        <v>1.02</v>
      </c>
      <c r="D26">
        <f t="shared" si="7"/>
        <v>1.3532</v>
      </c>
      <c r="E26">
        <f t="shared" si="7"/>
        <v>1.4119999999999999</v>
      </c>
      <c r="F26">
        <f t="shared" si="7"/>
        <v>1.6080000000000001</v>
      </c>
      <c r="G26">
        <f t="shared" si="7"/>
        <v>1.9608000000000001</v>
      </c>
      <c r="H26">
        <f t="shared" si="7"/>
        <v>1.02</v>
      </c>
      <c r="J26">
        <f>$B$5-J25</f>
        <v>1.3466666666666667</v>
      </c>
      <c r="K26">
        <f>$B$5-K25</f>
        <v>1.51</v>
      </c>
      <c r="L26">
        <f>$B$5-L25</f>
        <v>1.6080000000000001</v>
      </c>
    </row>
    <row r="27" spans="1:12" ht="15" customHeight="1" x14ac:dyDescent="0.25">
      <c r="A27" s="300" t="s">
        <v>438</v>
      </c>
      <c r="C27">
        <f t="shared" ref="C27:H27" si="8">C26/C20</f>
        <v>0.75689922985817037</v>
      </c>
      <c r="D27">
        <f t="shared" si="8"/>
        <v>1.0455938227990282</v>
      </c>
      <c r="E27">
        <f t="shared" si="8"/>
        <v>1.0972357257527285</v>
      </c>
      <c r="F27">
        <f t="shared" si="8"/>
        <v>1.268844905276409</v>
      </c>
      <c r="G27">
        <f t="shared" si="8"/>
        <v>1.5666684862531119</v>
      </c>
      <c r="H27">
        <f t="shared" si="8"/>
        <v>0.75689922985817037</v>
      </c>
      <c r="J27">
        <f>J26/J20</f>
        <v>1.0398594891123978</v>
      </c>
      <c r="K27">
        <f>K26/K20</f>
        <v>1.1832551340785016</v>
      </c>
      <c r="L27">
        <f>L26/L20</f>
        <v>1.268844905276409</v>
      </c>
    </row>
    <row r="28" spans="1:12" ht="15" customHeight="1" x14ac:dyDescent="0.25">
      <c r="A28" s="300" t="s">
        <v>439</v>
      </c>
      <c r="C28">
        <f t="shared" ref="C28:H28" si="9">-C26/C20</f>
        <v>-0.75689922985817037</v>
      </c>
      <c r="D28">
        <f t="shared" si="9"/>
        <v>-1.0455938227990282</v>
      </c>
      <c r="E28">
        <f t="shared" si="9"/>
        <v>-1.0972357257527285</v>
      </c>
      <c r="F28">
        <f t="shared" si="9"/>
        <v>-1.268844905276409</v>
      </c>
      <c r="G28">
        <f t="shared" si="9"/>
        <v>-1.5666684862531119</v>
      </c>
      <c r="H28">
        <f t="shared" si="9"/>
        <v>-0.75689922985817037</v>
      </c>
      <c r="J28">
        <f>-J26/J20</f>
        <v>-1.0398594891123978</v>
      </c>
      <c r="K28">
        <f>-K26/K20</f>
        <v>-1.1832551340785016</v>
      </c>
      <c r="L28">
        <f>-L26/L20</f>
        <v>-1.268844905276409</v>
      </c>
    </row>
    <row r="29" spans="1:12" ht="15" customHeight="1" x14ac:dyDescent="0.25">
      <c r="A29" s="300" t="s">
        <v>440</v>
      </c>
      <c r="C29">
        <f t="shared" ref="C29:H29" si="10">-$B$5/$B$7</f>
        <v>-1.598193139922818</v>
      </c>
      <c r="D29">
        <f t="shared" si="10"/>
        <v>-1.598193139922818</v>
      </c>
      <c r="E29">
        <f t="shared" si="10"/>
        <v>-1.598193139922818</v>
      </c>
      <c r="F29">
        <f t="shared" si="10"/>
        <v>-1.598193139922818</v>
      </c>
      <c r="G29">
        <f t="shared" si="10"/>
        <v>-1.598193139922818</v>
      </c>
      <c r="H29">
        <f t="shared" si="10"/>
        <v>-1.598193139922818</v>
      </c>
      <c r="J29">
        <f>-$B$5/$B$7</f>
        <v>-1.598193139922818</v>
      </c>
      <c r="K29">
        <f>-$B$5/$B$7</f>
        <v>-1.598193139922818</v>
      </c>
      <c r="L29">
        <f>-$B$5/$B$7</f>
        <v>-1.598193139922818</v>
      </c>
    </row>
    <row r="30" spans="1:12" ht="15" customHeight="1" x14ac:dyDescent="0.25">
      <c r="A30" s="300" t="s">
        <v>441</v>
      </c>
      <c r="C30">
        <f t="shared" ref="C30:H30" si="11">$B$5/$B$7</f>
        <v>1.598193139922818</v>
      </c>
      <c r="D30">
        <f t="shared" si="11"/>
        <v>1.598193139922818</v>
      </c>
      <c r="E30">
        <f t="shared" si="11"/>
        <v>1.598193139922818</v>
      </c>
      <c r="F30">
        <f t="shared" si="11"/>
        <v>1.598193139922818</v>
      </c>
      <c r="G30">
        <f t="shared" si="11"/>
        <v>1.598193139922818</v>
      </c>
      <c r="H30">
        <f t="shared" si="11"/>
        <v>1.598193139922818</v>
      </c>
      <c r="J30">
        <f>$B$5/$B$7</f>
        <v>1.598193139922818</v>
      </c>
      <c r="K30">
        <f>$B$5/$B$7</f>
        <v>1.598193139922818</v>
      </c>
      <c r="L30">
        <f>$B$5/$B$7</f>
        <v>1.598193139922818</v>
      </c>
    </row>
    <row r="31" spans="1:12" ht="15" customHeight="1" x14ac:dyDescent="0.25"/>
    <row r="32" spans="1:12" ht="15" customHeight="1" x14ac:dyDescent="0.25">
      <c r="A32" s="300" t="s">
        <v>442</v>
      </c>
      <c r="C32">
        <f t="shared" ref="C32:H32" si="12">C27/C22</f>
        <v>2.0399999999999991</v>
      </c>
      <c r="D32">
        <f t="shared" si="12"/>
        <v>4.100606060606065</v>
      </c>
      <c r="E32">
        <f t="shared" si="12"/>
        <v>4.7066666666666652</v>
      </c>
      <c r="F32">
        <f t="shared" si="12"/>
        <v>8.0400000000000169</v>
      </c>
      <c r="G32">
        <f t="shared" si="12"/>
        <v>98.040000000011176</v>
      </c>
      <c r="H32">
        <f t="shared" si="12"/>
        <v>2.0399999999999991</v>
      </c>
      <c r="J32">
        <f>J27/J22</f>
        <v>4.0399999999999991</v>
      </c>
      <c r="K32">
        <f>K27/K22</f>
        <v>6.0399999999999974</v>
      </c>
      <c r="L32">
        <f>L27/L22</f>
        <v>8.0400000000000169</v>
      </c>
    </row>
    <row r="33" spans="1:12" ht="15" customHeight="1" x14ac:dyDescent="0.25">
      <c r="A33" s="300" t="s">
        <v>443</v>
      </c>
      <c r="C33">
        <f t="shared" ref="C33:H33" si="13">C23*C29+C32</f>
        <v>6.0399999999999974</v>
      </c>
      <c r="D33">
        <f t="shared" si="13"/>
        <v>10.161212121212131</v>
      </c>
      <c r="E33">
        <f t="shared" si="13"/>
        <v>11.37333333333333</v>
      </c>
      <c r="F33">
        <f t="shared" si="13"/>
        <v>18.040000000000035</v>
      </c>
      <c r="G33">
        <f t="shared" si="13"/>
        <v>198.04000000002259</v>
      </c>
      <c r="H33">
        <f t="shared" si="13"/>
        <v>6.0399999999999974</v>
      </c>
      <c r="J33">
        <f>J23*J29+J32</f>
        <v>10.039999999999997</v>
      </c>
      <c r="K33">
        <f>K23*K29+K32</f>
        <v>14.039999999999992</v>
      </c>
      <c r="L33">
        <f>L23*L29+L32</f>
        <v>18.040000000000035</v>
      </c>
    </row>
    <row r="34" spans="1:12" ht="15" customHeight="1" x14ac:dyDescent="0.25">
      <c r="A34" s="300" t="s">
        <v>444</v>
      </c>
      <c r="C34">
        <f t="shared" ref="C34:H34" si="14">1-C23^2*$B$13</f>
        <v>5.7388932518093609</v>
      </c>
      <c r="D34">
        <f t="shared" si="14"/>
        <v>11.879001955485249</v>
      </c>
      <c r="E34">
        <f t="shared" si="14"/>
        <v>14.163592366137113</v>
      </c>
      <c r="F34">
        <f t="shared" si="14"/>
        <v>30.618082823808642</v>
      </c>
      <c r="G34">
        <f t="shared" si="14"/>
        <v>2962.808282381528</v>
      </c>
      <c r="H34">
        <f t="shared" si="14"/>
        <v>5.7388932518093609</v>
      </c>
      <c r="J34">
        <f>1-J23^2*$B$13</f>
        <v>11.662509816571063</v>
      </c>
      <c r="K34">
        <f>1-K23^2*$B$13</f>
        <v>19.955573007237437</v>
      </c>
      <c r="L34">
        <f>1-L23^2*$B$13</f>
        <v>30.618082823808642</v>
      </c>
    </row>
    <row r="35" spans="1:12" ht="15" customHeight="1" x14ac:dyDescent="0.25">
      <c r="A35" s="300" t="s">
        <v>445</v>
      </c>
      <c r="C35">
        <f t="shared" ref="C35:H35" si="15">SQRT(C34)</f>
        <v>2.39559872512267</v>
      </c>
      <c r="D35">
        <f t="shared" si="15"/>
        <v>3.4465928038405189</v>
      </c>
      <c r="E35">
        <f t="shared" si="15"/>
        <v>3.763454844439762</v>
      </c>
      <c r="F35">
        <f t="shared" si="15"/>
        <v>5.533360897665057</v>
      </c>
      <c r="G35">
        <f t="shared" si="15"/>
        <v>54.431684544771606</v>
      </c>
      <c r="H35">
        <f t="shared" si="15"/>
        <v>2.39559872512267</v>
      </c>
      <c r="J35">
        <f>SQRT(J34)</f>
        <v>3.4150417005610727</v>
      </c>
      <c r="K35">
        <f>SQRT(K34)</f>
        <v>4.4671661047287508</v>
      </c>
      <c r="L35">
        <f>SQRT(L34)</f>
        <v>5.533360897665057</v>
      </c>
    </row>
    <row r="36" spans="1:12" ht="15" customHeight="1" x14ac:dyDescent="0.25">
      <c r="A36" s="300" t="s">
        <v>446</v>
      </c>
      <c r="C36">
        <f t="shared" ref="C36:H36" si="16">(C23^2*$B$12^2+2*SQRT(2)*C32*$B$12+2*C32^2*$B$13)/(4*C34)</f>
        <v>-0.22233427972905337</v>
      </c>
      <c r="D36">
        <f t="shared" si="16"/>
        <v>-0.43982667898825706</v>
      </c>
      <c r="E36">
        <f t="shared" si="16"/>
        <v>-0.48065137464554369</v>
      </c>
      <c r="F36">
        <f t="shared" si="16"/>
        <v>-0.61860280588859873</v>
      </c>
      <c r="G36">
        <f t="shared" si="16"/>
        <v>-0.85663846569196422</v>
      </c>
      <c r="H36">
        <f t="shared" si="16"/>
        <v>-0.22233427972905337</v>
      </c>
      <c r="J36">
        <f>(J23^2*$B$12^2+2*SQRT(2)*J32*$B$12+2*J32^2*$B$13)/(4*J34)</f>
        <v>-0.43532125814807315</v>
      </c>
      <c r="K36">
        <f>(K23^2*$B$12^2+2*SQRT(2)*K32*$B$12+2*K32^2*$B$13)/(4*K34)</f>
        <v>-0.54947548696907911</v>
      </c>
      <c r="L36">
        <f>(L23^2*$B$12^2+2*SQRT(2)*L32*$B$12+2*L32^2*$B$13)/(4*L34)</f>
        <v>-0.61860280588859873</v>
      </c>
    </row>
    <row r="37" spans="1:12" ht="15" customHeight="1" x14ac:dyDescent="0.25">
      <c r="A37" s="300" t="s">
        <v>447</v>
      </c>
      <c r="C37">
        <f t="shared" ref="C37:H37" si="17">(C23^2*$B$12^2-2*SQRT(2)*C32*$B$12+2*C32^2*$B$13)/(4*C34)</f>
        <v>0.32813662488113249</v>
      </c>
      <c r="D37">
        <f t="shared" si="17"/>
        <v>9.4738226493132488E-2</v>
      </c>
      <c r="E37">
        <f t="shared" si="17"/>
        <v>3.395169340990252E-2</v>
      </c>
      <c r="F37">
        <f t="shared" si="17"/>
        <v>-0.21196251864094603</v>
      </c>
      <c r="G37">
        <f t="shared" si="17"/>
        <v>-0.80539575437068212</v>
      </c>
      <c r="H37">
        <f t="shared" si="17"/>
        <v>0.32813662488113249</v>
      </c>
      <c r="J37">
        <f>(J23^2*$B$12^2-2*SQRT(2)*J32*$B$12+2*J32^2*$B$13)/(4*J34)</f>
        <v>0.10111940540296172</v>
      </c>
      <c r="K37">
        <f>(K23^2*$B$12^2-2*SQRT(2)*K32*$B$12+2*K32^2*$B$13)/(4*K34)</f>
        <v>-8.0764553628972918E-2</v>
      </c>
      <c r="L37">
        <f>(L23^2*$B$12^2-2*SQRT(2)*L32*$B$12+2*L32^2*$B$13)/(4*L34)</f>
        <v>-0.21196251864094603</v>
      </c>
    </row>
    <row r="38" spans="1:12" ht="15" customHeight="1" x14ac:dyDescent="0.25">
      <c r="A38" s="300" t="s">
        <v>448</v>
      </c>
    </row>
    <row r="39" spans="1:12" ht="15" customHeight="1" x14ac:dyDescent="0.25"/>
    <row r="40" spans="1:12" ht="15" customHeight="1" x14ac:dyDescent="0.25">
      <c r="A40" s="300" t="s">
        <v>449</v>
      </c>
      <c r="C40">
        <f t="shared" ref="C40:H40" si="18">C28/C22</f>
        <v>-2.0399999999999991</v>
      </c>
      <c r="D40">
        <f t="shared" si="18"/>
        <v>-4.100606060606065</v>
      </c>
      <c r="E40">
        <f t="shared" si="18"/>
        <v>-4.7066666666666652</v>
      </c>
      <c r="F40">
        <f t="shared" si="18"/>
        <v>-8.0400000000000169</v>
      </c>
      <c r="G40">
        <f t="shared" si="18"/>
        <v>-98.040000000011176</v>
      </c>
      <c r="H40">
        <f t="shared" si="18"/>
        <v>-2.0399999999999991</v>
      </c>
      <c r="J40">
        <f>J28/J22</f>
        <v>-4.0399999999999991</v>
      </c>
      <c r="K40">
        <f>K28/K22</f>
        <v>-6.0399999999999974</v>
      </c>
      <c r="L40">
        <f>L28/L22</f>
        <v>-8.0400000000000169</v>
      </c>
    </row>
    <row r="41" spans="1:12" ht="15" customHeight="1" x14ac:dyDescent="0.25">
      <c r="A41" s="300" t="s">
        <v>450</v>
      </c>
      <c r="C41">
        <f t="shared" ref="C41:H41" si="19">C23*C29+C40</f>
        <v>1.9599999999999991</v>
      </c>
      <c r="D41">
        <f t="shared" si="19"/>
        <v>1.9600000000000017</v>
      </c>
      <c r="E41">
        <f t="shared" si="19"/>
        <v>1.9599999999999991</v>
      </c>
      <c r="F41">
        <f t="shared" si="19"/>
        <v>1.9600000000000026</v>
      </c>
      <c r="G41">
        <f t="shared" si="19"/>
        <v>1.9600000000002211</v>
      </c>
      <c r="H41">
        <f t="shared" si="19"/>
        <v>1.9599999999999991</v>
      </c>
      <c r="J41">
        <f>J23*J29+J40</f>
        <v>1.9599999999999991</v>
      </c>
      <c r="K41">
        <f>K23*K29+K40</f>
        <v>1.9599999999999982</v>
      </c>
      <c r="L41">
        <f>L23*L29+L40</f>
        <v>1.9600000000000026</v>
      </c>
    </row>
    <row r="42" spans="1:12" ht="15" customHeight="1" x14ac:dyDescent="0.25">
      <c r="A42" s="300" t="s">
        <v>451</v>
      </c>
      <c r="C42">
        <f t="shared" ref="C42:H42" si="20">1-C23^2*$B$13</f>
        <v>5.7388932518093609</v>
      </c>
      <c r="D42">
        <f t="shared" si="20"/>
        <v>11.879001955485249</v>
      </c>
      <c r="E42">
        <f t="shared" si="20"/>
        <v>14.163592366137113</v>
      </c>
      <c r="F42">
        <f t="shared" si="20"/>
        <v>30.618082823808642</v>
      </c>
      <c r="G42">
        <f t="shared" si="20"/>
        <v>2962.808282381528</v>
      </c>
      <c r="H42">
        <f t="shared" si="20"/>
        <v>5.7388932518093609</v>
      </c>
      <c r="J42">
        <f>1-J23^2*$B$13</f>
        <v>11.662509816571063</v>
      </c>
      <c r="K42">
        <f>1-K23^2*$B$13</f>
        <v>19.955573007237437</v>
      </c>
      <c r="L42">
        <f>1-L23^2*$B$13</f>
        <v>30.618082823808642</v>
      </c>
    </row>
    <row r="43" spans="1:12" ht="15" customHeight="1" x14ac:dyDescent="0.25">
      <c r="A43" s="300" t="s">
        <v>452</v>
      </c>
      <c r="C43">
        <f t="shared" ref="C43:H43" si="21">SQRT(C42)</f>
        <v>2.39559872512267</v>
      </c>
      <c r="D43">
        <f t="shared" si="21"/>
        <v>3.4465928038405189</v>
      </c>
      <c r="E43">
        <f t="shared" si="21"/>
        <v>3.763454844439762</v>
      </c>
      <c r="F43">
        <f t="shared" si="21"/>
        <v>5.533360897665057</v>
      </c>
      <c r="G43">
        <f t="shared" si="21"/>
        <v>54.431684544771606</v>
      </c>
      <c r="H43">
        <f t="shared" si="21"/>
        <v>2.39559872512267</v>
      </c>
      <c r="J43">
        <f>SQRT(J42)</f>
        <v>3.4150417005610727</v>
      </c>
      <c r="K43">
        <f>SQRT(K42)</f>
        <v>4.4671661047287508</v>
      </c>
      <c r="L43">
        <f>SQRT(L42)</f>
        <v>5.533360897665057</v>
      </c>
    </row>
    <row r="44" spans="1:12" ht="15" customHeight="1" x14ac:dyDescent="0.25">
      <c r="A44" s="300" t="s">
        <v>453</v>
      </c>
      <c r="C44">
        <f t="shared" ref="C44:H44" si="22">(C23^2*$B$12^2+2*SQRT(2)*C40*$B$12+2*C40^2*$B$13)/(4*C42)</f>
        <v>0.32813662488113249</v>
      </c>
      <c r="D44">
        <f t="shared" si="22"/>
        <v>9.4738226493132488E-2</v>
      </c>
      <c r="E44">
        <f t="shared" si="22"/>
        <v>3.395169340990252E-2</v>
      </c>
      <c r="F44">
        <f t="shared" si="22"/>
        <v>-0.21196251864094603</v>
      </c>
      <c r="G44">
        <f t="shared" si="22"/>
        <v>-0.80539575437068212</v>
      </c>
      <c r="H44">
        <f t="shared" si="22"/>
        <v>0.32813662488113249</v>
      </c>
      <c r="J44">
        <f>(J23^2*$B$12^2+2*SQRT(2)*J40*$B$12+2*J40^2*$B$13)/(4*J42)</f>
        <v>0.10111940540296172</v>
      </c>
      <c r="K44">
        <f>(K23^2*$B$12^2+2*SQRT(2)*K40*$B$12+2*K40^2*$B$13)/(4*K42)</f>
        <v>-8.0764553628972918E-2</v>
      </c>
      <c r="L44">
        <f>(L23^2*$B$12^2+2*SQRT(2)*L40*$B$12+2*L40^2*$B$13)/(4*L42)</f>
        <v>-0.21196251864094603</v>
      </c>
    </row>
    <row r="45" spans="1:12" ht="15" customHeight="1" x14ac:dyDescent="0.25">
      <c r="A45" s="300" t="s">
        <v>454</v>
      </c>
      <c r="C45">
        <f t="shared" ref="C45:H45" si="23">(C23^2*$B$12^2-2*SQRT(2)*C40*$B$12+2*C40^2*$B$13)/(4*C42)</f>
        <v>-0.22233427972905337</v>
      </c>
      <c r="D45">
        <f t="shared" si="23"/>
        <v>-0.43982667898825706</v>
      </c>
      <c r="E45">
        <f t="shared" si="23"/>
        <v>-0.48065137464554369</v>
      </c>
      <c r="F45">
        <f t="shared" si="23"/>
        <v>-0.61860280588859873</v>
      </c>
      <c r="G45">
        <f t="shared" si="23"/>
        <v>-0.85663846569196422</v>
      </c>
      <c r="H45">
        <f t="shared" si="23"/>
        <v>-0.22233427972905337</v>
      </c>
      <c r="J45">
        <f>(J23^2*$B$12^2-2*SQRT(2)*J40*$B$12+2*J40^2*$B$13)/(4*J42)</f>
        <v>-0.43532125814807315</v>
      </c>
      <c r="K45">
        <f>(K23^2*$B$12^2-2*SQRT(2)*K40*$B$12+2*K40^2*$B$13)/(4*K42)</f>
        <v>-0.54947548696907911</v>
      </c>
      <c r="L45">
        <f>(L23^2*$B$12^2-2*SQRT(2)*L40*$B$12+2*L40^2*$B$13)/(4*L42)</f>
        <v>-0.61860280588859873</v>
      </c>
    </row>
    <row r="46" spans="1:12" ht="15" customHeight="1" x14ac:dyDescent="0.25">
      <c r="A46" s="300" t="s">
        <v>455</v>
      </c>
    </row>
    <row r="47" spans="1:12" ht="15" customHeight="1" x14ac:dyDescent="0.25"/>
    <row r="48" spans="1:12" ht="15" customHeight="1" x14ac:dyDescent="0.25">
      <c r="A48" s="300" t="s">
        <v>456</v>
      </c>
      <c r="C48">
        <f t="shared" ref="C48:H48" si="24">C28/C22</f>
        <v>-2.0399999999999991</v>
      </c>
      <c r="D48">
        <f t="shared" si="24"/>
        <v>-4.100606060606065</v>
      </c>
      <c r="E48">
        <f t="shared" si="24"/>
        <v>-4.7066666666666652</v>
      </c>
      <c r="F48">
        <f t="shared" si="24"/>
        <v>-8.0400000000000169</v>
      </c>
      <c r="G48">
        <f t="shared" si="24"/>
        <v>-98.040000000011176</v>
      </c>
      <c r="H48">
        <f t="shared" si="24"/>
        <v>-2.0399999999999991</v>
      </c>
      <c r="J48">
        <f>J28/J22</f>
        <v>-4.0399999999999991</v>
      </c>
      <c r="K48">
        <f>K28/K22</f>
        <v>-6.0399999999999974</v>
      </c>
      <c r="L48">
        <f>L28/L22</f>
        <v>-8.0400000000000169</v>
      </c>
    </row>
    <row r="49" spans="1:12" ht="15" customHeight="1" x14ac:dyDescent="0.25">
      <c r="A49" s="300" t="s">
        <v>457</v>
      </c>
      <c r="C49">
        <f t="shared" ref="C49:H49" si="25">C23*C30+C48</f>
        <v>-6.0399999999999974</v>
      </c>
      <c r="D49">
        <f t="shared" si="25"/>
        <v>-10.161212121212131</v>
      </c>
      <c r="E49">
        <f t="shared" si="25"/>
        <v>-11.37333333333333</v>
      </c>
      <c r="F49">
        <f t="shared" si="25"/>
        <v>-18.040000000000035</v>
      </c>
      <c r="G49">
        <f t="shared" si="25"/>
        <v>-198.04000000002259</v>
      </c>
      <c r="H49">
        <f t="shared" si="25"/>
        <v>-6.0399999999999974</v>
      </c>
      <c r="J49">
        <f>J23*J30+J48</f>
        <v>-10.039999999999997</v>
      </c>
      <c r="K49">
        <f>K23*K30+K48</f>
        <v>-14.039999999999992</v>
      </c>
      <c r="L49">
        <f>L23*L30+L48</f>
        <v>-18.040000000000035</v>
      </c>
    </row>
    <row r="50" spans="1:12" ht="15" customHeight="1" x14ac:dyDescent="0.25">
      <c r="A50" s="300" t="s">
        <v>458</v>
      </c>
      <c r="C50">
        <f t="shared" ref="C50:H50" si="26">1-C23^2*$B$13</f>
        <v>5.7388932518093609</v>
      </c>
      <c r="D50">
        <f t="shared" si="26"/>
        <v>11.879001955485249</v>
      </c>
      <c r="E50">
        <f t="shared" si="26"/>
        <v>14.163592366137113</v>
      </c>
      <c r="F50">
        <f t="shared" si="26"/>
        <v>30.618082823808642</v>
      </c>
      <c r="G50">
        <f t="shared" si="26"/>
        <v>2962.808282381528</v>
      </c>
      <c r="H50">
        <f t="shared" si="26"/>
        <v>5.7388932518093609</v>
      </c>
      <c r="J50">
        <f>1-J23^2*$B$13</f>
        <v>11.662509816571063</v>
      </c>
      <c r="K50">
        <f>1-K23^2*$B$13</f>
        <v>19.955573007237437</v>
      </c>
      <c r="L50">
        <f>1-L23^2*$B$13</f>
        <v>30.618082823808642</v>
      </c>
    </row>
    <row r="51" spans="1:12" ht="15" customHeight="1" x14ac:dyDescent="0.25">
      <c r="A51" s="300" t="s">
        <v>459</v>
      </c>
      <c r="C51">
        <f t="shared" ref="C51:H51" si="27">SQRT(C50)</f>
        <v>2.39559872512267</v>
      </c>
      <c r="D51">
        <f t="shared" si="27"/>
        <v>3.4465928038405189</v>
      </c>
      <c r="E51">
        <f t="shared" si="27"/>
        <v>3.763454844439762</v>
      </c>
      <c r="F51">
        <f t="shared" si="27"/>
        <v>5.533360897665057</v>
      </c>
      <c r="G51">
        <f t="shared" si="27"/>
        <v>54.431684544771606</v>
      </c>
      <c r="H51">
        <f t="shared" si="27"/>
        <v>2.39559872512267</v>
      </c>
      <c r="J51">
        <f>SQRT(J50)</f>
        <v>3.4150417005610727</v>
      </c>
      <c r="K51">
        <f>SQRT(K50)</f>
        <v>4.4671661047287508</v>
      </c>
      <c r="L51">
        <f>SQRT(L50)</f>
        <v>5.533360897665057</v>
      </c>
    </row>
    <row r="52" spans="1:12" ht="15" customHeight="1" x14ac:dyDescent="0.25">
      <c r="A52" s="300" t="s">
        <v>460</v>
      </c>
      <c r="C52">
        <f t="shared" ref="C52:H52" si="28">(C23^2*$B$12^2+2*SQRT(2)*C48*$B$12+2*C48^2*$B$13)/(4*C50)</f>
        <v>0.32813662488113249</v>
      </c>
      <c r="D52">
        <f t="shared" si="28"/>
        <v>9.4738226493132488E-2</v>
      </c>
      <c r="E52">
        <f t="shared" si="28"/>
        <v>3.395169340990252E-2</v>
      </c>
      <c r="F52">
        <f t="shared" si="28"/>
        <v>-0.21196251864094603</v>
      </c>
      <c r="G52">
        <f t="shared" si="28"/>
        <v>-0.80539575437068212</v>
      </c>
      <c r="H52">
        <f t="shared" si="28"/>
        <v>0.32813662488113249</v>
      </c>
      <c r="J52">
        <f>(J23^2*$B$12^2+2*SQRT(2)*J48*$B$12+2*J48^2*$B$13)/(4*J50)</f>
        <v>0.10111940540296172</v>
      </c>
      <c r="K52">
        <f>(K23^2*$B$12^2+2*SQRT(2)*K48*$B$12+2*K48^2*$B$13)/(4*K50)</f>
        <v>-8.0764553628972918E-2</v>
      </c>
      <c r="L52">
        <f>(L23^2*$B$12^2+2*SQRT(2)*L48*$B$12+2*L48^2*$B$13)/(4*L50)</f>
        <v>-0.21196251864094603</v>
      </c>
    </row>
    <row r="53" spans="1:12" ht="15" customHeight="1" x14ac:dyDescent="0.25">
      <c r="A53" s="300" t="s">
        <v>461</v>
      </c>
      <c r="C53">
        <f t="shared" ref="C53:H53" si="29">(C23^2*$B$12^2-2*SQRT(2)*C48*$B$12+2*C48^2*$B$13)/(4*C50)</f>
        <v>-0.22233427972905337</v>
      </c>
      <c r="D53">
        <f t="shared" si="29"/>
        <v>-0.43982667898825706</v>
      </c>
      <c r="E53">
        <f t="shared" si="29"/>
        <v>-0.48065137464554369</v>
      </c>
      <c r="F53">
        <f t="shared" si="29"/>
        <v>-0.61860280588859873</v>
      </c>
      <c r="G53">
        <f t="shared" si="29"/>
        <v>-0.85663846569196422</v>
      </c>
      <c r="H53">
        <f t="shared" si="29"/>
        <v>-0.22233427972905337</v>
      </c>
      <c r="J53">
        <f>(J23^2*$B$12^2-2*SQRT(2)*J48*$B$12+2*J48^2*$B$13)/(4*J50)</f>
        <v>-0.43532125814807315</v>
      </c>
      <c r="K53">
        <f>(K23^2*$B$12^2-2*SQRT(2)*K48*$B$12+2*K48^2*$B$13)/(4*K50)</f>
        <v>-0.54947548696907911</v>
      </c>
      <c r="L53">
        <f>(L23^2*$B$12^2-2*SQRT(2)*L48*$B$12+2*L48^2*$B$13)/(4*L50)</f>
        <v>-0.61860280588859873</v>
      </c>
    </row>
    <row r="54" spans="1:12" ht="15" customHeight="1" x14ac:dyDescent="0.25">
      <c r="A54" s="300" t="s">
        <v>462</v>
      </c>
    </row>
    <row r="55" spans="1:12" ht="15" customHeight="1" x14ac:dyDescent="0.25"/>
    <row r="56" spans="1:12" ht="15" customHeight="1" x14ac:dyDescent="0.25">
      <c r="A56" s="300" t="s">
        <v>463</v>
      </c>
      <c r="C56" s="128">
        <f>MAX(0,(1-$B$6)*2*NORMDIST((-$B$5+C26)/SQRT(C18^2+$B$7^2),0,1,TRUE()))</f>
        <v>5.138023996802215E-2</v>
      </c>
      <c r="D56" s="128">
        <f t="shared" ref="D56:H56" si="30">MAX(0,(1-$B$6)*2*NORMDIST((-$B$5+D26)/SQRT(D18^2+$B$7^2),0,1,TRUE()))</f>
        <v>6.7895998453157511E-2</v>
      </c>
      <c r="E56" s="128">
        <f t="shared" si="30"/>
        <v>7.1249940558424152E-2</v>
      </c>
      <c r="F56" s="128">
        <f t="shared" si="30"/>
        <v>8.3278559603504554E-2</v>
      </c>
      <c r="G56" s="128">
        <f t="shared" si="30"/>
        <v>0.10725152606919772</v>
      </c>
      <c r="H56" s="128">
        <f t="shared" si="30"/>
        <v>5.138023996802215E-2</v>
      </c>
      <c r="J56" s="128">
        <f>MAX(0,(1-$B$6)*2*NORMDIST((-$B$5+J26)/SQRT(J18^2+$B$7^2),0,1,TRUE()))</f>
        <v>6.7531166592717656E-2</v>
      </c>
      <c r="K56" s="128">
        <f>MAX(0,(1-$B$6)*2*NORMDIST((-$B$5+K26)/SQRT(K18^2+$B$7^2),0,1,TRUE()))</f>
        <v>7.7110058068707729E-2</v>
      </c>
      <c r="L56" s="128">
        <f>MAX(0,(1-$B$6)*2*NORMDIST((-$B$5+L26)/SQRT(L18^2+$B$7^2),0,1,TRUE()))</f>
        <v>8.3278559603504554E-2</v>
      </c>
    </row>
    <row r="57" spans="1:12" ht="15" customHeight="1" x14ac:dyDescent="0.25">
      <c r="A57" s="300" t="s">
        <v>464</v>
      </c>
      <c r="C57" s="128">
        <f>$B$6-N143</f>
        <v>0.33981184265390796</v>
      </c>
      <c r="D57" s="128">
        <f>$B$6-P143</f>
        <v>0.18626151800786361</v>
      </c>
      <c r="E57" s="128">
        <f>$B$6-R143</f>
        <v>0.16301585835820398</v>
      </c>
      <c r="F57" s="128">
        <f>$B$6-T143</f>
        <v>9.4853871422974523E-2</v>
      </c>
      <c r="G57" s="128">
        <f>$B$6-V143</f>
        <v>9.1042477471591221E-3</v>
      </c>
      <c r="H57" s="128">
        <f>$B$6-X143</f>
        <v>0.33981184265390796</v>
      </c>
      <c r="J57" s="128">
        <f>$B$6-Z143</f>
        <v>0.18892200390525116</v>
      </c>
      <c r="K57" s="128">
        <f>$B$6-AB143</f>
        <v>0.12712562014280693</v>
      </c>
      <c r="L57" s="128">
        <f>$B$6-AD143</f>
        <v>9.4853871422974523E-2</v>
      </c>
    </row>
    <row r="58" spans="1:12" ht="15" customHeight="1" x14ac:dyDescent="0.25"/>
    <row r="59" spans="1:12" ht="15" customHeight="1" x14ac:dyDescent="0.25">
      <c r="A59" s="300" t="s">
        <v>465</v>
      </c>
      <c r="C59">
        <f t="shared" ref="C59:H59" si="31">IF(C19&lt;=0,0,MAX(0,1.04-EXP(0.38*LN(C19)-0.54)))</f>
        <v>0.28164530800008813</v>
      </c>
      <c r="D59">
        <f t="shared" si="31"/>
        <v>0.15193310150252592</v>
      </c>
      <c r="E59">
        <f t="shared" si="31"/>
        <v>0.11917966186476547</v>
      </c>
      <c r="F59">
        <f t="shared" si="31"/>
        <v>0</v>
      </c>
      <c r="G59">
        <f t="shared" si="31"/>
        <v>0</v>
      </c>
      <c r="H59">
        <f t="shared" si="31"/>
        <v>0.28164530800008813</v>
      </c>
      <c r="J59">
        <f>IF(J19&lt;=0,0,MAX(0,1.04-EXP(0.38*LN(J19)-0.54)))</f>
        <v>0.15531827400931264</v>
      </c>
      <c r="K59">
        <f>IF(K19&lt;=0,0,MAX(0,1.04-EXP(0.38*LN(K19)-0.54)))</f>
        <v>5.3121298029738639E-2</v>
      </c>
      <c r="L59">
        <f>IF(L19&lt;=0,0,MAX(0,1.04-EXP(0.38*LN(L19)-0.54)))</f>
        <v>0</v>
      </c>
    </row>
    <row r="60" spans="1:12" ht="15" customHeight="1" x14ac:dyDescent="0.25">
      <c r="A60" s="300" t="s">
        <v>163</v>
      </c>
      <c r="C60">
        <f t="shared" ref="C60:H60" si="32">C17*C59</f>
        <v>0.28164530800008813</v>
      </c>
      <c r="D60">
        <f t="shared" si="32"/>
        <v>0.10027584699166711</v>
      </c>
      <c r="E60">
        <f t="shared" si="32"/>
        <v>7.1507797118859281E-2</v>
      </c>
      <c r="F60">
        <f t="shared" si="32"/>
        <v>0</v>
      </c>
      <c r="G60">
        <f t="shared" si="32"/>
        <v>0</v>
      </c>
      <c r="H60">
        <f t="shared" si="32"/>
        <v>0.28164530800008813</v>
      </c>
      <c r="J60">
        <f>J17*J59</f>
        <v>0.10354551600620843</v>
      </c>
      <c r="K60">
        <f>K17*K59</f>
        <v>2.656064901486932E-2</v>
      </c>
      <c r="L60">
        <f>L17*L59</f>
        <v>0</v>
      </c>
    </row>
    <row r="61" spans="1:12" ht="15" customHeight="1" x14ac:dyDescent="0.25">
      <c r="A61" s="300" t="s">
        <v>466</v>
      </c>
      <c r="C61">
        <f t="shared" ref="C61:H61" si="33">$B$5-C60</f>
        <v>1.7183546919999118</v>
      </c>
      <c r="D61">
        <f t="shared" si="33"/>
        <v>1.8997241530083329</v>
      </c>
      <c r="E61">
        <f t="shared" si="33"/>
        <v>1.9284922028811406</v>
      </c>
      <c r="F61">
        <f t="shared" si="33"/>
        <v>2</v>
      </c>
      <c r="G61">
        <f t="shared" si="33"/>
        <v>2</v>
      </c>
      <c r="H61">
        <f t="shared" si="33"/>
        <v>1.7183546919999118</v>
      </c>
      <c r="J61">
        <f>$B$5-J60</f>
        <v>1.8964544839937916</v>
      </c>
      <c r="K61">
        <f>$B$5-K60</f>
        <v>1.9734393509851307</v>
      </c>
      <c r="L61">
        <f>$B$5-L60</f>
        <v>2</v>
      </c>
    </row>
    <row r="62" spans="1:12" ht="15" customHeight="1" x14ac:dyDescent="0.25">
      <c r="A62" s="300" t="s">
        <v>467</v>
      </c>
      <c r="C62">
        <f t="shared" ref="C62:H62" si="34">C61/C20</f>
        <v>1.2751189637234379</v>
      </c>
      <c r="D62">
        <f t="shared" si="34"/>
        <v>1.4678834166476713</v>
      </c>
      <c r="E62">
        <f t="shared" si="34"/>
        <v>1.4985910352951606</v>
      </c>
      <c r="F62">
        <f t="shared" si="34"/>
        <v>1.5781653050701603</v>
      </c>
      <c r="G62">
        <f t="shared" si="34"/>
        <v>1.5979890720655976</v>
      </c>
      <c r="H62">
        <f t="shared" si="34"/>
        <v>1.2751189637234379</v>
      </c>
      <c r="J62">
        <f>J61/J20</f>
        <v>1.4643907357802226</v>
      </c>
      <c r="K62">
        <f>K61/K20</f>
        <v>1.5464120820170213</v>
      </c>
      <c r="L62">
        <f>L61/L20</f>
        <v>1.5781653050701603</v>
      </c>
    </row>
    <row r="63" spans="1:12" ht="15" customHeight="1" x14ac:dyDescent="0.25">
      <c r="A63" s="300" t="s">
        <v>468</v>
      </c>
      <c r="C63">
        <f t="shared" ref="C63:H63" si="35">-C61/C20</f>
        <v>-1.2751189637234379</v>
      </c>
      <c r="D63">
        <f t="shared" si="35"/>
        <v>-1.4678834166476713</v>
      </c>
      <c r="E63">
        <f t="shared" si="35"/>
        <v>-1.4985910352951606</v>
      </c>
      <c r="F63">
        <f t="shared" si="35"/>
        <v>-1.5781653050701603</v>
      </c>
      <c r="G63">
        <f t="shared" si="35"/>
        <v>-1.5979890720655976</v>
      </c>
      <c r="H63">
        <f t="shared" si="35"/>
        <v>-1.2751189637234379</v>
      </c>
      <c r="J63">
        <f>-J61/J20</f>
        <v>-1.4643907357802226</v>
      </c>
      <c r="K63">
        <f>-K61/K20</f>
        <v>-1.5464120820170213</v>
      </c>
      <c r="L63">
        <f>-L61/L20</f>
        <v>-1.5781653050701603</v>
      </c>
    </row>
    <row r="64" spans="1:12" ht="15" customHeight="1" x14ac:dyDescent="0.25"/>
    <row r="65" spans="1:12" ht="15" customHeight="1" x14ac:dyDescent="0.25">
      <c r="A65" s="300" t="s">
        <v>469</v>
      </c>
      <c r="C65">
        <f t="shared" ref="C65:H65" si="36">C62/C22</f>
        <v>3.4367093839998222</v>
      </c>
      <c r="D65">
        <f t="shared" si="36"/>
        <v>5.7567398576010147</v>
      </c>
      <c r="E65">
        <f t="shared" si="36"/>
        <v>6.428307342937134</v>
      </c>
      <c r="F65">
        <f t="shared" si="36"/>
        <v>10.00000000000002</v>
      </c>
      <c r="G65">
        <f t="shared" si="36"/>
        <v>100.0000000000114</v>
      </c>
      <c r="H65">
        <f t="shared" si="36"/>
        <v>3.4367093839998222</v>
      </c>
      <c r="J65">
        <f>J62/J22</f>
        <v>5.6893634519813725</v>
      </c>
      <c r="K65">
        <f>K62/K22</f>
        <v>7.8937574039405192</v>
      </c>
      <c r="L65">
        <f>L62/L22</f>
        <v>10.00000000000002</v>
      </c>
    </row>
    <row r="66" spans="1:12" ht="15" customHeight="1" x14ac:dyDescent="0.25">
      <c r="A66" s="300" t="s">
        <v>470</v>
      </c>
      <c r="C66">
        <f t="shared" ref="C66:H66" si="37">C23*C29+C65</f>
        <v>7.4367093839998208</v>
      </c>
      <c r="D66">
        <f t="shared" si="37"/>
        <v>11.817345918207081</v>
      </c>
      <c r="E66">
        <f t="shared" si="37"/>
        <v>13.094974009603799</v>
      </c>
      <c r="F66">
        <f t="shared" si="37"/>
        <v>20.000000000000039</v>
      </c>
      <c r="G66">
        <f t="shared" si="37"/>
        <v>200.00000000002279</v>
      </c>
      <c r="H66">
        <f t="shared" si="37"/>
        <v>7.4367093839998208</v>
      </c>
      <c r="J66">
        <f>J23*J29+J65</f>
        <v>11.689363451981372</v>
      </c>
      <c r="K66">
        <f>K23*K29+K65</f>
        <v>15.893757403940516</v>
      </c>
      <c r="L66">
        <f>L23*L29+L65</f>
        <v>20.000000000000039</v>
      </c>
    </row>
    <row r="67" spans="1:12" ht="15" customHeight="1" x14ac:dyDescent="0.25">
      <c r="A67" s="300" t="s">
        <v>471</v>
      </c>
      <c r="C67">
        <f t="shared" ref="C67:H67" si="38">1-C23^2*$B$13</f>
        <v>5.7388932518093609</v>
      </c>
      <c r="D67">
        <f t="shared" si="38"/>
        <v>11.879001955485249</v>
      </c>
      <c r="E67">
        <f t="shared" si="38"/>
        <v>14.163592366137113</v>
      </c>
      <c r="F67">
        <f t="shared" si="38"/>
        <v>30.618082823808642</v>
      </c>
      <c r="G67">
        <f t="shared" si="38"/>
        <v>2962.808282381528</v>
      </c>
      <c r="H67">
        <f t="shared" si="38"/>
        <v>5.7388932518093609</v>
      </c>
      <c r="J67">
        <f>1-J23^2*$B$13</f>
        <v>11.662509816571063</v>
      </c>
      <c r="K67">
        <f>1-K23^2*$B$13</f>
        <v>19.955573007237437</v>
      </c>
      <c r="L67">
        <f>1-L23^2*$B$13</f>
        <v>30.618082823808642</v>
      </c>
    </row>
    <row r="68" spans="1:12" ht="15" customHeight="1" x14ac:dyDescent="0.25">
      <c r="A68" s="300" t="s">
        <v>472</v>
      </c>
      <c r="C68">
        <f t="shared" ref="C68:H68" si="39">SQRT(C67)</f>
        <v>2.39559872512267</v>
      </c>
      <c r="D68">
        <f t="shared" si="39"/>
        <v>3.4465928038405189</v>
      </c>
      <c r="E68">
        <f t="shared" si="39"/>
        <v>3.763454844439762</v>
      </c>
      <c r="F68">
        <f t="shared" si="39"/>
        <v>5.533360897665057</v>
      </c>
      <c r="G68">
        <f t="shared" si="39"/>
        <v>54.431684544771606</v>
      </c>
      <c r="H68">
        <f t="shared" si="39"/>
        <v>2.39559872512267</v>
      </c>
      <c r="J68">
        <f>SQRT(J67)</f>
        <v>3.4150417005610727</v>
      </c>
      <c r="K68">
        <f>SQRT(K67)</f>
        <v>4.4671661047287508</v>
      </c>
      <c r="L68">
        <f>SQRT(L67)</f>
        <v>5.533360897665057</v>
      </c>
    </row>
    <row r="69" spans="1:12" ht="15" customHeight="1" x14ac:dyDescent="0.25">
      <c r="A69" s="300" t="s">
        <v>473</v>
      </c>
      <c r="C69">
        <f t="shared" ref="C69:H69" si="40">(C23^2*$B$12^2+2*SQRT(2)*C65*$B$12+2*C65^2*$B$13)/(4*C67)</f>
        <v>-0.91495443674409549</v>
      </c>
      <c r="D69">
        <f t="shared" si="40"/>
        <v>-1.0676049951536355</v>
      </c>
      <c r="E69">
        <f t="shared" si="40"/>
        <v>-1.0867382358022892</v>
      </c>
      <c r="F69">
        <f t="shared" si="40"/>
        <v>-1.104985967363781</v>
      </c>
      <c r="G69">
        <f t="shared" si="40"/>
        <v>-0.90670607516687329</v>
      </c>
      <c r="H69">
        <f t="shared" si="40"/>
        <v>-0.91495443674409549</v>
      </c>
      <c r="J69">
        <f>(J23^2*$B$12^2+2*SQRT(2)*J65*$B$12+2*J65^2*$B$13)/(4*J67)</f>
        <v>-1.0652926822311617</v>
      </c>
      <c r="K69">
        <f>(K23^2*$B$12^2+2*SQRT(2)*K65*$B$12+2*K65^2*$B$13)/(4*K67)</f>
        <v>-1.1110034696365936</v>
      </c>
      <c r="L69">
        <f>(L23^2*$B$12^2+2*SQRT(2)*L65*$B$12+2*L65^2*$B$13)/(4*L67)</f>
        <v>-1.104985967363781</v>
      </c>
    </row>
    <row r="70" spans="1:12" ht="15" customHeight="1" x14ac:dyDescent="0.25">
      <c r="A70" s="300" t="s">
        <v>474</v>
      </c>
      <c r="C70">
        <f t="shared" ref="C70:H70" si="41">(C23^2*$B$12^2-2*SQRT(2)*C65*$B$12+2*C65^2*$B$13)/(4*C67)</f>
        <v>1.2402682615069882E-2</v>
      </c>
      <c r="D70">
        <f t="shared" si="41"/>
        <v>-0.31714248976373582</v>
      </c>
      <c r="E70">
        <f t="shared" si="41"/>
        <v>-0.38389970582803906</v>
      </c>
      <c r="F70">
        <f t="shared" si="41"/>
        <v>-0.59921446581197424</v>
      </c>
      <c r="G70">
        <f t="shared" si="41"/>
        <v>-0.85443892775634478</v>
      </c>
      <c r="H70">
        <f t="shared" si="41"/>
        <v>1.2402682615069882E-2</v>
      </c>
      <c r="J70">
        <f>(J23^2*$B$12^2-2*SQRT(2)*J65*$B$12+2*J65^2*$B$13)/(4*J67)</f>
        <v>-0.30984567595296991</v>
      </c>
      <c r="K70">
        <f>(K23^2*$B$12^2-2*SQRT(2)*K65*$B$12+2*K65^2*$B$13)/(4*K67)</f>
        <v>-0.4984388338151805</v>
      </c>
      <c r="L70">
        <f>(L23^2*$B$12^2-2*SQRT(2)*L65*$B$12+2*L65^2*$B$13)/(4*L67)</f>
        <v>-0.59921446581197424</v>
      </c>
    </row>
    <row r="71" spans="1:12" ht="15" customHeight="1" x14ac:dyDescent="0.25">
      <c r="A71" s="300" t="s">
        <v>475</v>
      </c>
    </row>
    <row r="72" spans="1:12" ht="15" customHeight="1" x14ac:dyDescent="0.25"/>
    <row r="73" spans="1:12" ht="15" customHeight="1" x14ac:dyDescent="0.25">
      <c r="A73" s="300" t="s">
        <v>476</v>
      </c>
      <c r="C73">
        <f t="shared" ref="C73:H73" si="42">C63/C22</f>
        <v>-3.4367093839998222</v>
      </c>
      <c r="D73">
        <f t="shared" si="42"/>
        <v>-5.7567398576010147</v>
      </c>
      <c r="E73">
        <f t="shared" si="42"/>
        <v>-6.428307342937134</v>
      </c>
      <c r="F73">
        <f t="shared" si="42"/>
        <v>-10.00000000000002</v>
      </c>
      <c r="G73">
        <f t="shared" si="42"/>
        <v>-100.0000000000114</v>
      </c>
      <c r="H73">
        <f t="shared" si="42"/>
        <v>-3.4367093839998222</v>
      </c>
      <c r="J73">
        <f>J63/J22</f>
        <v>-5.6893634519813725</v>
      </c>
      <c r="K73">
        <f>K63/K22</f>
        <v>-7.8937574039405192</v>
      </c>
      <c r="L73">
        <f>L63/L22</f>
        <v>-10.00000000000002</v>
      </c>
    </row>
    <row r="74" spans="1:12" ht="15" customHeight="1" x14ac:dyDescent="0.25">
      <c r="A74" s="300" t="s">
        <v>477</v>
      </c>
      <c r="C74">
        <f t="shared" ref="C74:H74" si="43">C23*C29+C73</f>
        <v>0.56329061600017605</v>
      </c>
      <c r="D74">
        <f t="shared" si="43"/>
        <v>0.30386620300505207</v>
      </c>
      <c r="E74">
        <f t="shared" si="43"/>
        <v>0.23835932372953028</v>
      </c>
      <c r="F74">
        <f t="shared" si="43"/>
        <v>0</v>
      </c>
      <c r="G74">
        <f t="shared" si="43"/>
        <v>0</v>
      </c>
      <c r="H74">
        <f t="shared" si="43"/>
        <v>0.56329061600017605</v>
      </c>
      <c r="J74">
        <f>J23*J29+J73</f>
        <v>0.31063654801862572</v>
      </c>
      <c r="K74">
        <f>K23*K29+K73</f>
        <v>0.10624259605947639</v>
      </c>
      <c r="L74">
        <f>L23*L29+L73</f>
        <v>0</v>
      </c>
    </row>
    <row r="75" spans="1:12" ht="15" customHeight="1" x14ac:dyDescent="0.25">
      <c r="A75" s="300" t="s">
        <v>478</v>
      </c>
      <c r="C75">
        <f t="shared" ref="C75:H75" si="44">1-C23^2*$B$13</f>
        <v>5.7388932518093609</v>
      </c>
      <c r="D75">
        <f t="shared" si="44"/>
        <v>11.879001955485249</v>
      </c>
      <c r="E75">
        <f t="shared" si="44"/>
        <v>14.163592366137113</v>
      </c>
      <c r="F75">
        <f t="shared" si="44"/>
        <v>30.618082823808642</v>
      </c>
      <c r="G75">
        <f t="shared" si="44"/>
        <v>2962.808282381528</v>
      </c>
      <c r="H75">
        <f t="shared" si="44"/>
        <v>5.7388932518093609</v>
      </c>
      <c r="J75">
        <f>1-J23^2*$B$13</f>
        <v>11.662509816571063</v>
      </c>
      <c r="K75">
        <f>1-K23^2*$B$13</f>
        <v>19.955573007237437</v>
      </c>
      <c r="L75">
        <f>1-L23^2*$B$13</f>
        <v>30.618082823808642</v>
      </c>
    </row>
    <row r="76" spans="1:12" ht="15" customHeight="1" x14ac:dyDescent="0.25">
      <c r="A76" s="300" t="s">
        <v>479</v>
      </c>
      <c r="C76">
        <f t="shared" ref="C76:H76" si="45">SQRT(C75)</f>
        <v>2.39559872512267</v>
      </c>
      <c r="D76">
        <f t="shared" si="45"/>
        <v>3.4465928038405189</v>
      </c>
      <c r="E76">
        <f t="shared" si="45"/>
        <v>3.763454844439762</v>
      </c>
      <c r="F76">
        <f t="shared" si="45"/>
        <v>5.533360897665057</v>
      </c>
      <c r="G76">
        <f t="shared" si="45"/>
        <v>54.431684544771606</v>
      </c>
      <c r="H76">
        <f t="shared" si="45"/>
        <v>2.39559872512267</v>
      </c>
      <c r="J76">
        <f>SQRT(J75)</f>
        <v>3.4150417005610727</v>
      </c>
      <c r="K76">
        <f>SQRT(K75)</f>
        <v>4.4671661047287508</v>
      </c>
      <c r="L76">
        <f>SQRT(L75)</f>
        <v>5.533360897665057</v>
      </c>
    </row>
    <row r="77" spans="1:12" ht="15" customHeight="1" x14ac:dyDescent="0.25">
      <c r="A77" s="300" t="s">
        <v>480</v>
      </c>
      <c r="C77">
        <f t="shared" ref="C77:H77" si="46">(C23^2*$B$12^2+2*SQRT(2)*C73*$B$12+2*C73^2*$B$13)/(4*C75)</f>
        <v>1.2402682615069882E-2</v>
      </c>
      <c r="D77">
        <f t="shared" si="46"/>
        <v>-0.31714248976373582</v>
      </c>
      <c r="E77">
        <f t="shared" si="46"/>
        <v>-0.38389970582803906</v>
      </c>
      <c r="F77">
        <f t="shared" si="46"/>
        <v>-0.59921446581197424</v>
      </c>
      <c r="G77">
        <f t="shared" si="46"/>
        <v>-0.85443892775634478</v>
      </c>
      <c r="H77">
        <f t="shared" si="46"/>
        <v>1.2402682615069882E-2</v>
      </c>
      <c r="J77">
        <f>(J23^2*$B$12^2+2*SQRT(2)*J73*$B$12+2*J73^2*$B$13)/(4*J75)</f>
        <v>-0.30984567595296991</v>
      </c>
      <c r="K77">
        <f>(K23^2*$B$12^2+2*SQRT(2)*K73*$B$12+2*K73^2*$B$13)/(4*K75)</f>
        <v>-0.4984388338151805</v>
      </c>
      <c r="L77">
        <f>(L23^2*$B$12^2+2*SQRT(2)*L73*$B$12+2*L73^2*$B$13)/(4*L75)</f>
        <v>-0.59921446581197424</v>
      </c>
    </row>
    <row r="78" spans="1:12" ht="15" customHeight="1" x14ac:dyDescent="0.25">
      <c r="A78" s="300" t="s">
        <v>481</v>
      </c>
      <c r="C78">
        <f t="shared" ref="C78:H78" si="47">(C23^2*$B$12^2-2*SQRT(2)*C73*$B$12+2*C73^2*$B$13)/(4*C75)</f>
        <v>-0.91495443674409549</v>
      </c>
      <c r="D78">
        <f t="shared" si="47"/>
        <v>-1.0676049951536355</v>
      </c>
      <c r="E78">
        <f t="shared" si="47"/>
        <v>-1.0867382358022892</v>
      </c>
      <c r="F78">
        <f t="shared" si="47"/>
        <v>-1.104985967363781</v>
      </c>
      <c r="G78">
        <f t="shared" si="47"/>
        <v>-0.90670607516687329</v>
      </c>
      <c r="H78">
        <f t="shared" si="47"/>
        <v>-0.91495443674409549</v>
      </c>
      <c r="J78">
        <f>(J23^2*$B$12^2-2*SQRT(2)*J73*$B$12+2*J73^2*$B$13)/(4*J75)</f>
        <v>-1.0652926822311617</v>
      </c>
      <c r="K78">
        <f>(K23^2*$B$12^2-2*SQRT(2)*K73*$B$12+2*K73^2*$B$13)/(4*K75)</f>
        <v>-1.1110034696365936</v>
      </c>
      <c r="L78">
        <f>(L23^2*$B$12^2-2*SQRT(2)*L73*$B$12+2*L73^2*$B$13)/(4*L75)</f>
        <v>-1.104985967363781</v>
      </c>
    </row>
    <row r="79" spans="1:12" ht="15" customHeight="1" x14ac:dyDescent="0.25">
      <c r="A79" s="300" t="s">
        <v>482</v>
      </c>
    </row>
    <row r="80" spans="1:12" ht="15" customHeight="1" x14ac:dyDescent="0.25"/>
    <row r="81" spans="1:12" ht="15" customHeight="1" x14ac:dyDescent="0.25">
      <c r="A81" s="300" t="s">
        <v>483</v>
      </c>
      <c r="C81">
        <f t="shared" ref="C81:H81" si="48">C63/C22</f>
        <v>-3.4367093839998222</v>
      </c>
      <c r="D81">
        <f t="shared" si="48"/>
        <v>-5.7567398576010147</v>
      </c>
      <c r="E81">
        <f t="shared" si="48"/>
        <v>-6.428307342937134</v>
      </c>
      <c r="F81">
        <f t="shared" si="48"/>
        <v>-10.00000000000002</v>
      </c>
      <c r="G81">
        <f t="shared" si="48"/>
        <v>-100.0000000000114</v>
      </c>
      <c r="H81">
        <f t="shared" si="48"/>
        <v>-3.4367093839998222</v>
      </c>
      <c r="J81">
        <f>J63/J22</f>
        <v>-5.6893634519813725</v>
      </c>
      <c r="K81">
        <f>K63/K22</f>
        <v>-7.8937574039405192</v>
      </c>
      <c r="L81">
        <f>L63/L22</f>
        <v>-10.00000000000002</v>
      </c>
    </row>
    <row r="82" spans="1:12" ht="15" customHeight="1" x14ac:dyDescent="0.25">
      <c r="A82" s="300" t="s">
        <v>484</v>
      </c>
      <c r="C82">
        <f t="shared" ref="C82:H82" si="49">C23*C30+C81</f>
        <v>-7.4367093839998208</v>
      </c>
      <c r="D82">
        <f t="shared" si="49"/>
        <v>-11.817345918207081</v>
      </c>
      <c r="E82">
        <f t="shared" si="49"/>
        <v>-13.094974009603799</v>
      </c>
      <c r="F82">
        <f t="shared" si="49"/>
        <v>-20.000000000000039</v>
      </c>
      <c r="G82">
        <f t="shared" si="49"/>
        <v>-200.00000000002279</v>
      </c>
      <c r="H82">
        <f t="shared" si="49"/>
        <v>-7.4367093839998208</v>
      </c>
      <c r="J82">
        <f>J23*J30+J81</f>
        <v>-11.689363451981372</v>
      </c>
      <c r="K82">
        <f>K23*K30+K81</f>
        <v>-15.893757403940516</v>
      </c>
      <c r="L82">
        <f>L23*L30+L81</f>
        <v>-20.000000000000039</v>
      </c>
    </row>
    <row r="83" spans="1:12" ht="15" customHeight="1" x14ac:dyDescent="0.25">
      <c r="A83" s="300" t="s">
        <v>485</v>
      </c>
      <c r="C83">
        <f t="shared" ref="C83:H83" si="50">1-C23^2*$B$13</f>
        <v>5.7388932518093609</v>
      </c>
      <c r="D83">
        <f t="shared" si="50"/>
        <v>11.879001955485249</v>
      </c>
      <c r="E83">
        <f t="shared" si="50"/>
        <v>14.163592366137113</v>
      </c>
      <c r="F83">
        <f t="shared" si="50"/>
        <v>30.618082823808642</v>
      </c>
      <c r="G83">
        <f t="shared" si="50"/>
        <v>2962.808282381528</v>
      </c>
      <c r="H83">
        <f t="shared" si="50"/>
        <v>5.7388932518093609</v>
      </c>
      <c r="J83">
        <f>1-J23^2*$B$13</f>
        <v>11.662509816571063</v>
      </c>
      <c r="K83">
        <f>1-K23^2*$B$13</f>
        <v>19.955573007237437</v>
      </c>
      <c r="L83">
        <f>1-L23^2*$B$13</f>
        <v>30.618082823808642</v>
      </c>
    </row>
    <row r="84" spans="1:12" ht="15" customHeight="1" x14ac:dyDescent="0.25">
      <c r="A84" s="300" t="s">
        <v>486</v>
      </c>
      <c r="C84">
        <f t="shared" ref="C84:H84" si="51">SQRT(C83)</f>
        <v>2.39559872512267</v>
      </c>
      <c r="D84">
        <f t="shared" si="51"/>
        <v>3.4465928038405189</v>
      </c>
      <c r="E84">
        <f t="shared" si="51"/>
        <v>3.763454844439762</v>
      </c>
      <c r="F84">
        <f t="shared" si="51"/>
        <v>5.533360897665057</v>
      </c>
      <c r="G84">
        <f t="shared" si="51"/>
        <v>54.431684544771606</v>
      </c>
      <c r="H84">
        <f t="shared" si="51"/>
        <v>2.39559872512267</v>
      </c>
      <c r="J84">
        <f>SQRT(J83)</f>
        <v>3.4150417005610727</v>
      </c>
      <c r="K84">
        <f>SQRT(K83)</f>
        <v>4.4671661047287508</v>
      </c>
      <c r="L84">
        <f>SQRT(L83)</f>
        <v>5.533360897665057</v>
      </c>
    </row>
    <row r="85" spans="1:12" ht="15" customHeight="1" x14ac:dyDescent="0.25">
      <c r="A85" s="300" t="s">
        <v>487</v>
      </c>
      <c r="C85">
        <f t="shared" ref="C85:H85" si="52">(C23^2*$B$12^2+2*SQRT(2)*C81*$B$12+2*C81^2*$B$13)/(4*C83)</f>
        <v>1.2402682615069882E-2</v>
      </c>
      <c r="D85">
        <f t="shared" si="52"/>
        <v>-0.31714248976373582</v>
      </c>
      <c r="E85">
        <f t="shared" si="52"/>
        <v>-0.38389970582803906</v>
      </c>
      <c r="F85">
        <f t="shared" si="52"/>
        <v>-0.59921446581197424</v>
      </c>
      <c r="G85">
        <f t="shared" si="52"/>
        <v>-0.85443892775634478</v>
      </c>
      <c r="H85">
        <f t="shared" si="52"/>
        <v>1.2402682615069882E-2</v>
      </c>
      <c r="J85">
        <f>(J23^2*$B$12^2+2*SQRT(2)*J81*$B$12+2*J81^2*$B$13)/(4*J83)</f>
        <v>-0.30984567595296991</v>
      </c>
      <c r="K85">
        <f>(K23^2*$B$12^2+2*SQRT(2)*K81*$B$12+2*K81^2*$B$13)/(4*K83)</f>
        <v>-0.4984388338151805</v>
      </c>
      <c r="L85">
        <f>(L23^2*$B$12^2+2*SQRT(2)*L81*$B$12+2*L81^2*$B$13)/(4*L83)</f>
        <v>-0.59921446581197424</v>
      </c>
    </row>
    <row r="86" spans="1:12" ht="15" customHeight="1" x14ac:dyDescent="0.25">
      <c r="A86" s="300" t="s">
        <v>488</v>
      </c>
      <c r="C86">
        <f t="shared" ref="C86:H86" si="53">(C23^2*$B$12^2-2*SQRT(2)*C81*$B$12+2*C81^2*$B$13)/(4*C83)</f>
        <v>-0.91495443674409549</v>
      </c>
      <c r="D86">
        <f t="shared" si="53"/>
        <v>-1.0676049951536355</v>
      </c>
      <c r="E86">
        <f t="shared" si="53"/>
        <v>-1.0867382358022892</v>
      </c>
      <c r="F86">
        <f t="shared" si="53"/>
        <v>-1.104985967363781</v>
      </c>
      <c r="G86">
        <f t="shared" si="53"/>
        <v>-0.90670607516687329</v>
      </c>
      <c r="H86">
        <f t="shared" si="53"/>
        <v>-0.91495443674409549</v>
      </c>
      <c r="J86">
        <f>(J23^2*$B$12^2-2*SQRT(2)*J81*$B$12+2*J81^2*$B$13)/(4*J83)</f>
        <v>-1.0652926822311617</v>
      </c>
      <c r="K86">
        <f>(K23^2*$B$12^2-2*SQRT(2)*K81*$B$12+2*K81^2*$B$13)/(4*K83)</f>
        <v>-1.1110034696365936</v>
      </c>
      <c r="L86">
        <f>(L23^2*$B$12^2-2*SQRT(2)*L81*$B$12+2*L81^2*$B$13)/(4*L83)</f>
        <v>-1.104985967363781</v>
      </c>
    </row>
    <row r="87" spans="1:12" ht="15" customHeight="1" x14ac:dyDescent="0.25">
      <c r="A87" s="300" t="s">
        <v>489</v>
      </c>
    </row>
    <row r="88" spans="1:12" ht="15" customHeight="1" x14ac:dyDescent="0.25"/>
    <row r="89" spans="1:12" ht="15" customHeight="1" x14ac:dyDescent="0.25">
      <c r="A89" s="300" t="s">
        <v>490</v>
      </c>
      <c r="C89" s="128">
        <f t="shared" ref="C89:H89" si="54">MAX(0,(1-$B$6)*2*NORMDIST((-$B$5+C61)/SQRT(C18^2+$B$7^2),0,1,TRUE()))</f>
        <v>9.178954898403599E-2</v>
      </c>
      <c r="D89" s="128">
        <f t="shared" si="54"/>
        <v>0.10320646618877072</v>
      </c>
      <c r="E89" s="128">
        <f t="shared" si="54"/>
        <v>0.10512552397550846</v>
      </c>
      <c r="F89" s="128">
        <f t="shared" si="54"/>
        <v>0.10999999999999999</v>
      </c>
      <c r="G89" s="128">
        <f t="shared" si="54"/>
        <v>0.10999999999999999</v>
      </c>
      <c r="H89" s="128">
        <f t="shared" si="54"/>
        <v>9.178954898403599E-2</v>
      </c>
      <c r="J89" s="128">
        <f>MAX(0,(1-$B$6)*2*NORMDIST((-$B$5+J61)/SQRT(J18^2+$B$7^2),0,1,TRUE()))</f>
        <v>0.1029900315634938</v>
      </c>
      <c r="K89" s="128">
        <f>MAX(0,(1-$B$6)*2*NORMDIST((-$B$5+K61)/SQRT(K18^2+$B$7^2),0,1,TRUE()))</f>
        <v>0.10817340810939696</v>
      </c>
      <c r="L89" s="128">
        <f>MAX(0,(1-$B$6)*2*NORMDIST((-$B$5+L61)/SQRT(L18^2+$B$7^2),0,1,TRUE()))</f>
        <v>0.10999999999999999</v>
      </c>
    </row>
    <row r="90" spans="1:12" ht="15" customHeight="1" x14ac:dyDescent="0.25">
      <c r="A90" s="300" t="s">
        <v>491</v>
      </c>
      <c r="C90" s="128">
        <f>$B$6-O143</f>
        <v>0.10399707531253877</v>
      </c>
      <c r="D90" s="128">
        <f>$B$6-Q143</f>
        <v>4.4717492451906704E-2</v>
      </c>
      <c r="E90" s="128">
        <f>$B$6-S143</f>
        <v>3.675208641849248E-2</v>
      </c>
      <c r="F90" s="128">
        <f>$B$6-U143</f>
        <v>1.704487401950161E-2</v>
      </c>
      <c r="G90" s="128">
        <f>$B$6-W143</f>
        <v>4.7576624123262246E-3</v>
      </c>
      <c r="H90" s="128">
        <f>$B$6-Y143</f>
        <v>0.10399707531253877</v>
      </c>
      <c r="J90" s="128">
        <f>$B$6-AA143</f>
        <v>4.5648570003057221E-2</v>
      </c>
      <c r="K90" s="128">
        <f>$B$6-AC143</f>
        <v>2.5133567815397218E-2</v>
      </c>
      <c r="L90" s="128">
        <f>$B$6-AE143</f>
        <v>1.704487401950161E-2</v>
      </c>
    </row>
    <row r="91" spans="1:12" ht="15" customHeight="1" x14ac:dyDescent="0.25"/>
    <row r="92" spans="1:12" ht="15" customHeight="1" x14ac:dyDescent="0.25">
      <c r="A92" s="300" t="s">
        <v>492</v>
      </c>
      <c r="C92" s="303">
        <f t="shared" ref="C92:H92" si="55">C57*$B$8</f>
        <v>169.90592132695397</v>
      </c>
      <c r="D92" s="303">
        <f t="shared" si="55"/>
        <v>93.1307590039318</v>
      </c>
      <c r="E92" s="303">
        <f t="shared" si="55"/>
        <v>81.507929179101993</v>
      </c>
      <c r="F92" s="303">
        <f t="shared" si="55"/>
        <v>47.426935711487261</v>
      </c>
      <c r="G92" s="303">
        <f t="shared" si="55"/>
        <v>4.5521238735795606</v>
      </c>
      <c r="H92" s="303">
        <f t="shared" si="55"/>
        <v>169.90592132695397</v>
      </c>
      <c r="J92" s="303">
        <f>J57*$B$8</f>
        <v>94.46100195262558</v>
      </c>
      <c r="K92" s="303">
        <f>K57*$B$8</f>
        <v>63.562810071403462</v>
      </c>
      <c r="L92" s="303">
        <f>L57*$B$8</f>
        <v>47.426935711487261</v>
      </c>
    </row>
    <row r="93" spans="1:12" ht="15" customHeight="1" x14ac:dyDescent="0.25">
      <c r="A93" s="300" t="s">
        <v>493</v>
      </c>
      <c r="C93" s="303">
        <f t="shared" ref="C93:H93" si="56">C90*$B$8</f>
        <v>51.998537656269384</v>
      </c>
      <c r="D93" s="303">
        <f t="shared" si="56"/>
        <v>22.358746225953354</v>
      </c>
      <c r="E93" s="303">
        <f t="shared" si="56"/>
        <v>18.376043209246241</v>
      </c>
      <c r="F93" s="303">
        <f t="shared" si="56"/>
        <v>8.5224370097508046</v>
      </c>
      <c r="G93" s="303">
        <f t="shared" si="56"/>
        <v>2.3788312061631123</v>
      </c>
      <c r="H93" s="303">
        <f t="shared" si="56"/>
        <v>51.998537656269384</v>
      </c>
      <c r="J93" s="303">
        <f>J90*$B$8</f>
        <v>22.824285001528612</v>
      </c>
      <c r="K93" s="303">
        <f>K90*$B$8</f>
        <v>12.566783907698609</v>
      </c>
      <c r="L93" s="303">
        <f>L90*$B$8</f>
        <v>8.5224370097508046</v>
      </c>
    </row>
    <row r="94" spans="1:12" ht="15" customHeight="1" x14ac:dyDescent="0.25">
      <c r="A94" s="300" t="s">
        <v>494</v>
      </c>
      <c r="C94" s="131">
        <f t="shared" ref="C94:H95" si="57">C92*$B$9</f>
        <v>19822.357488144629</v>
      </c>
      <c r="D94" s="131">
        <f t="shared" si="57"/>
        <v>10865.255217125377</v>
      </c>
      <c r="E94" s="131">
        <f t="shared" si="57"/>
        <v>9509.2584042285671</v>
      </c>
      <c r="F94" s="131">
        <f t="shared" si="57"/>
        <v>5533.1424996735141</v>
      </c>
      <c r="G94" s="131">
        <f t="shared" si="57"/>
        <v>531.08111858428208</v>
      </c>
      <c r="H94" s="131">
        <f t="shared" si="57"/>
        <v>19822.357488144629</v>
      </c>
      <c r="J94" s="131">
        <f t="shared" ref="J94:L95" si="58">J92*$B$9</f>
        <v>11020.450227806317</v>
      </c>
      <c r="K94" s="131">
        <f t="shared" si="58"/>
        <v>7415.6611749970707</v>
      </c>
      <c r="L94" s="131">
        <f t="shared" si="58"/>
        <v>5533.1424996735141</v>
      </c>
    </row>
    <row r="95" spans="1:12" ht="15" customHeight="1" x14ac:dyDescent="0.25">
      <c r="A95" s="300" t="s">
        <v>495</v>
      </c>
      <c r="C95" s="131">
        <f t="shared" si="57"/>
        <v>6066.4960598980952</v>
      </c>
      <c r="D95" s="131">
        <f t="shared" si="57"/>
        <v>2608.5203930278913</v>
      </c>
      <c r="E95" s="131">
        <f t="shared" si="57"/>
        <v>2143.8717077453948</v>
      </c>
      <c r="F95" s="131">
        <f t="shared" si="57"/>
        <v>994.28431780426058</v>
      </c>
      <c r="G95" s="131">
        <f t="shared" si="57"/>
        <v>277.53030738569646</v>
      </c>
      <c r="H95" s="131">
        <f t="shared" si="57"/>
        <v>6066.4960598980952</v>
      </c>
      <c r="J95" s="131">
        <f t="shared" si="58"/>
        <v>2662.8332501783379</v>
      </c>
      <c r="K95" s="131">
        <f t="shared" si="58"/>
        <v>1466.1247892315043</v>
      </c>
      <c r="L95" s="131">
        <f t="shared" si="58"/>
        <v>994.28431780426058</v>
      </c>
    </row>
    <row r="96" spans="1:12" ht="15" customHeight="1" x14ac:dyDescent="0.25">
      <c r="A96" s="164" t="s">
        <v>496</v>
      </c>
    </row>
    <row r="97" spans="1:46" ht="15" customHeight="1" x14ac:dyDescent="0.25">
      <c r="A97" t="s">
        <v>497</v>
      </c>
      <c r="C97" s="190">
        <f t="shared" ref="C97:H97" si="59">$B$6-AO143</f>
        <v>5.2184558833927697E-2</v>
      </c>
      <c r="D97" s="190">
        <f t="shared" si="59"/>
        <v>3.0623675979897791E-2</v>
      </c>
      <c r="E97" s="190">
        <f t="shared" si="59"/>
        <v>2.7265353960724825E-2</v>
      </c>
      <c r="F97" s="190">
        <f t="shared" si="59"/>
        <v>1.704487401950161E-2</v>
      </c>
      <c r="G97" s="190">
        <f t="shared" si="59"/>
        <v>4.7576624123262246E-3</v>
      </c>
      <c r="H97" s="190">
        <f t="shared" si="59"/>
        <v>5.2184558833927697E-2</v>
      </c>
    </row>
    <row r="98" spans="1:46" ht="15" customHeight="1" x14ac:dyDescent="0.25">
      <c r="A98" t="s">
        <v>498</v>
      </c>
      <c r="C98">
        <f t="shared" ref="C98:H98" si="60">C97*$B$8</f>
        <v>26.092279416963848</v>
      </c>
      <c r="D98">
        <f t="shared" si="60"/>
        <v>15.311837989948895</v>
      </c>
      <c r="E98">
        <f t="shared" si="60"/>
        <v>13.632676980362412</v>
      </c>
      <c r="F98">
        <f t="shared" si="60"/>
        <v>8.5224370097508046</v>
      </c>
      <c r="G98">
        <f t="shared" si="60"/>
        <v>2.3788312061631123</v>
      </c>
      <c r="H98">
        <f t="shared" si="60"/>
        <v>26.092279416963848</v>
      </c>
    </row>
    <row r="99" spans="1:46" ht="15" customHeight="1" x14ac:dyDescent="0.25">
      <c r="A99" t="s">
        <v>499</v>
      </c>
      <c r="C99">
        <f t="shared" ref="C99:H99" si="61">C98*$B$9</f>
        <v>3044.099265312449</v>
      </c>
      <c r="D99">
        <f t="shared" si="61"/>
        <v>1786.3810988273713</v>
      </c>
      <c r="E99">
        <f t="shared" si="61"/>
        <v>1590.4789810422815</v>
      </c>
      <c r="F99">
        <f t="shared" si="61"/>
        <v>994.28431780426058</v>
      </c>
      <c r="G99">
        <f t="shared" si="61"/>
        <v>277.53030738569646</v>
      </c>
      <c r="H99">
        <f t="shared" si="61"/>
        <v>3044.099265312449</v>
      </c>
    </row>
    <row r="100" spans="1:46" ht="15" customHeight="1" x14ac:dyDescent="0.25">
      <c r="A100" s="230" t="s">
        <v>500</v>
      </c>
    </row>
    <row r="101" spans="1:46" ht="15" customHeight="1" x14ac:dyDescent="0.25">
      <c r="A101" t="s">
        <v>501</v>
      </c>
      <c r="B101">
        <v>40</v>
      </c>
      <c r="N101" t="s">
        <v>502</v>
      </c>
      <c r="O101" t="s">
        <v>503</v>
      </c>
      <c r="P101" t="s">
        <v>504</v>
      </c>
      <c r="Q101" t="s">
        <v>505</v>
      </c>
      <c r="R101" t="s">
        <v>506</v>
      </c>
      <c r="S101" t="s">
        <v>507</v>
      </c>
      <c r="T101" t="s">
        <v>508</v>
      </c>
      <c r="U101" t="s">
        <v>509</v>
      </c>
      <c r="V101" t="s">
        <v>510</v>
      </c>
      <c r="W101" t="s">
        <v>511</v>
      </c>
      <c r="X101" t="s">
        <v>512</v>
      </c>
      <c r="Y101" t="s">
        <v>513</v>
      </c>
      <c r="Z101" t="s">
        <v>514</v>
      </c>
      <c r="AA101" t="s">
        <v>515</v>
      </c>
      <c r="AB101" t="s">
        <v>516</v>
      </c>
      <c r="AC101" t="s">
        <v>517</v>
      </c>
      <c r="AD101" t="s">
        <v>518</v>
      </c>
      <c r="AE101" t="s">
        <v>519</v>
      </c>
      <c r="AF101" t="s">
        <v>520</v>
      </c>
      <c r="AG101" t="s">
        <v>521</v>
      </c>
      <c r="AH101" t="s">
        <v>522</v>
      </c>
      <c r="AI101" t="s">
        <v>523</v>
      </c>
      <c r="AJ101" t="s">
        <v>524</v>
      </c>
      <c r="AK101" t="s">
        <v>525</v>
      </c>
      <c r="AL101" t="s">
        <v>526</v>
      </c>
      <c r="AM101" t="s">
        <v>527</v>
      </c>
      <c r="AN101" t="s">
        <v>528</v>
      </c>
    </row>
    <row r="102" spans="1:46" ht="15" customHeight="1" x14ac:dyDescent="0.25">
      <c r="A102">
        <f>(-$B$5)</f>
        <v>-2</v>
      </c>
      <c r="B102">
        <f>2*$B$5/39</f>
        <v>0.10256410256410256</v>
      </c>
      <c r="N102">
        <f>NORMDIST($A$102,0,$B$7,FALSE())*(NORMDIST((C26-$A$102)/C18,0,1,TRUE())-NORMDIST((-C26-$A$102)/C18,0,1,TRUE()))</f>
        <v>2.2221360767105359E-3</v>
      </c>
      <c r="O102">
        <f>NORMDIST($A$102,0,$B$7,FALSE())*(NORMDIST((C61-$A$102)/C18,0,1,TRUE())-NORMDIST((-C61-$A$102)/C18,0,1,TRUE()))</f>
        <v>2.5478358588921717E-2</v>
      </c>
      <c r="P102">
        <f>NORMDIST($A$102,0,$B$7,FALSE())*(NORMDIST((D26-$A$102)/D18,0,1,TRUE())-NORMDIST((-D26-$A$102)/D18,0,1,TRUE()))</f>
        <v>2.222136145208864E-3</v>
      </c>
      <c r="Q102">
        <f>NORMDIST($A$102,0,$B$7,FALSE())*(NORMDIST((D61-$A$102)/D18,0,1,TRUE())-NORMDIST((-D61-$A$102)/D18,0,1,TRUE()))</f>
        <v>3.3833974892570153E-2</v>
      </c>
      <c r="R102">
        <f>NORMDIST($A$102,0,$B$7,FALSE())*(NORMDIST((E26-$A$102)/E18,0,1,TRUE())-NORMDIST((-E26-$A$102)/E18,0,1,TRUE()))</f>
        <v>2.2221361452088545E-3</v>
      </c>
      <c r="S102">
        <f>NORMDIST($A$102,0,$B$7,FALSE())*(NORMDIST((E61-$A$102)/E18,0,1,TRUE())-NORMDIST((-E61-$A$102)/E18,0,1,TRUE()))</f>
        <v>3.607285828104724E-2</v>
      </c>
      <c r="T102">
        <f>NORMDIST($A$102,0,$B$7,FALSE())*(NORMDIST((F26-$A$102)/F18,0,1,TRUE())-NORMDIST((-F26-$A$102)/F18,0,1,TRUE()))</f>
        <v>2.222136145208864E-3</v>
      </c>
      <c r="U102">
        <f>NORMDIST($A$102,0,$B$7,FALSE())*(NORMDIST((F61-$A$102)/F18,0,1,TRUE())-NORMDIST((-F61-$A$102)/F18,0,1,TRUE()))</f>
        <v>4.4446465033018002E-2</v>
      </c>
      <c r="V102">
        <f>NORMDIST($A$102,0,$B$7,FALSE())*(NORMDIST((G26-$A$102)/G18,0,1,TRUE())-NORMDIST((-G26-$A$102)/G18,0,1,TRUE()))</f>
        <v>2.222136145208884E-3</v>
      </c>
      <c r="W102">
        <f>NORMDIST($A$102,0,$B$7,FALSE())*(NORMDIST((G61-$A$102)/G18,0,1,TRUE())-NORMDIST((-G61-$A$102)/G18,0,1,TRUE()))</f>
        <v>4.4446465033018002E-2</v>
      </c>
      <c r="X102">
        <f>NORMDIST($A$102,0,$B$7,FALSE())*(NORMDIST((H26-$A$102)/H18,0,1,TRUE())-NORMDIST((-H26-$A$102)/H18,0,1,TRUE()))</f>
        <v>2.2221360767105359E-3</v>
      </c>
      <c r="Y102">
        <f>NORMDIST($A$102,0,$B$7,FALSE())*(NORMDIST((H61-$A$102)/H18,0,1,TRUE())-NORMDIST((-H61-$A$102)/H18,0,1,TRUE()))</f>
        <v>2.5478358588921717E-2</v>
      </c>
      <c r="Z102">
        <f>NORMDIST($A$102,0,$B$7,FALSE())*(NORMDIST((J26-$A$102)/J18,0,1,TRUE())-NORMDIST((-J26-$A$102)/J18,0,1,TRUE()))</f>
        <v>2.222136145208864E-3</v>
      </c>
      <c r="AA102">
        <f>NORMDIST($A$102,0,$B$7,FALSE())*(NORMDIST((J61-$A$102)/J18,0,1,TRUE())-NORMDIST((-J61-$A$102)/J18,0,1,TRUE()))</f>
        <v>3.3604947252879117E-2</v>
      </c>
      <c r="AB102">
        <f>NORMDIST($A$102,0,$B$7,FALSE())*(NORMDIST((K26-$A$102)/K18,0,1,TRUE())-NORMDIST((-K26-$A$102)/K18,0,1,TRUE()))</f>
        <v>2.222136145208864E-3</v>
      </c>
      <c r="AC102">
        <f>NORMDIST($A$102,0,$B$7,FALSE())*(NORMDIST((K61-$A$102)/K18,0,1,TRUE())-NORMDIST((-K61-$A$102)/K18,0,1,TRUE()))</f>
        <v>4.0685844088775659E-2</v>
      </c>
      <c r="AD102">
        <f>NORMDIST($A$102,0,$B$7,FALSE())*(NORMDIST((L26-$A$102)/L18,0,1,TRUE())-NORMDIST((-L26-$A$102)/L18,0,1,TRUE()))</f>
        <v>2.222136145208864E-3</v>
      </c>
      <c r="AE102">
        <f>NORMDIST($A$102,0,$B$7,FALSE())*(NORMDIST((L61-$A$102)/L18,0,1,TRUE())-NORMDIST((-L61-$A$102)/L18,0,1,TRUE()))</f>
        <v>4.4446465033018002E-2</v>
      </c>
      <c r="AF102">
        <f t="shared" ref="AF102:AK102" si="62">NORMDIST($A$102,0,$B$7,FALSE())*(NORMDIST((C216-$A$102)/C18,0,1,TRUE())-NORMDIST((-C216-$A$102)/C18,0,1,TRUE()))</f>
        <v>3.9104414293821964E-2</v>
      </c>
      <c r="AG102">
        <f t="shared" si="62"/>
        <v>4.4446465033018002E-2</v>
      </c>
      <c r="AH102">
        <f t="shared" si="62"/>
        <v>4.4446465033018002E-2</v>
      </c>
      <c r="AI102">
        <f t="shared" si="62"/>
        <v>4.4446465033018002E-2</v>
      </c>
      <c r="AJ102">
        <f t="shared" si="62"/>
        <v>4.4446465033018002E-2</v>
      </c>
      <c r="AK102">
        <f t="shared" si="62"/>
        <v>3.9104414293821964E-2</v>
      </c>
      <c r="AL102">
        <f>NORMDIST($A$102,0,$B$7,FALSE())*(NORMDIST((J216-$A$102)/J18,0,1,TRUE())-NORMDIST((-J216-$A$102)/J18,0,1,TRUE()))</f>
        <v>4.4446465033018002E-2</v>
      </c>
      <c r="AM102">
        <f>NORMDIST($A$102,0,$B$7,FALSE())*(NORMDIST((K216-$A$102)/K18,0,1,TRUE())-NORMDIST((-K216-$A$102)/K18,0,1,TRUE()))</f>
        <v>4.4446465033018002E-2</v>
      </c>
      <c r="AN102">
        <f>NORMDIST($A$102,0,$B$7,FALSE())*(NORMDIST((L216-$A$102)/L18,0,1,TRUE())-NORMDIST((-L216-$A$102)/L18,0,1,TRUE()))</f>
        <v>4.4446465033018002E-2</v>
      </c>
      <c r="AO102">
        <f t="shared" ref="AO102:AT102" si="63">NORMDIST($A$102,0,$B$7,FALSE())*(NORMDIST(($B$5-$A$102)/C18,0,1,TRUE())-NORMDIST((-$B$5-$A$102)/C18,0,1,TRUE()))</f>
        <v>4.444646503301794E-2</v>
      </c>
      <c r="AP102">
        <f t="shared" si="63"/>
        <v>4.4446465033018002E-2</v>
      </c>
      <c r="AQ102">
        <f t="shared" si="63"/>
        <v>4.4446465033018002E-2</v>
      </c>
      <c r="AR102">
        <f t="shared" si="63"/>
        <v>4.4446465033018002E-2</v>
      </c>
      <c r="AS102">
        <f t="shared" si="63"/>
        <v>4.4446465033018002E-2</v>
      </c>
      <c r="AT102">
        <f t="shared" si="63"/>
        <v>4.444646503301794E-2</v>
      </c>
    </row>
    <row r="103" spans="1:46" ht="15" customHeight="1" x14ac:dyDescent="0.25">
      <c r="A103">
        <f>A102+1*2*$B$5/39</f>
        <v>-1.8974358974358974</v>
      </c>
      <c r="N103">
        <f>NORMDIST($A$103,0,$B$7,FALSE())*(NORMDIST((C26-$A$103)/C18,0,1,TRUE())-NORMDIST((-C26-$A$103)/C18,0,1,TRUE()))</f>
        <v>4.0034588954558602E-3</v>
      </c>
      <c r="O103">
        <f>NORMDIST($A$103,0,$B$7,FALSE())*(NORMDIST((C61-$A$103)/C18,0,1,TRUE())-NORMDIST((-C61-$A$103)/C18,0,1,TRUE()))</f>
        <v>3.6368988222775366E-2</v>
      </c>
      <c r="P103">
        <f>NORMDIST($A$103,0,$B$7,FALSE())*(NORMDIST((D26-$A$103)/D18,0,1,TRUE())-NORMDIST((-D26-$A$103)/D18,0,1,TRUE()))</f>
        <v>5.0045856393856969E-3</v>
      </c>
      <c r="Q103">
        <f>NORMDIST($A$103,0,$B$7,FALSE())*(NORMDIST((D61-$A$103)/D18,0,1,TRUE())-NORMDIST((-D61-$A$103)/D18,0,1,TRUE()))</f>
        <v>5.0776307457432869E-2</v>
      </c>
      <c r="R103">
        <f>NORMDIST($A$103,0,$B$7,FALSE())*(NORMDIST((E26-$A$103)/E18,0,1,TRUE())-NORMDIST((-E26-$A$103)/E18,0,1,TRUE()))</f>
        <v>5.3343346872811977E-3</v>
      </c>
      <c r="S103">
        <f>NORMDIST($A$103,0,$B$7,FALSE())*(NORMDIST((E61-$A$103)/E18,0,1,TRUE())-NORMDIST((-E61-$A$103)/E18,0,1,TRUE()))</f>
        <v>5.4660428146816334E-2</v>
      </c>
      <c r="T103">
        <f>NORMDIST($A$103,0,$B$7,FALSE())*(NORMDIST((F26-$A$103)/F18,0,1,TRUE())-NORMDIST((-F26-$A$103)/F18,0,1,TRUE()))</f>
        <v>7.4658023727831703E-3</v>
      </c>
      <c r="U103">
        <f>NORMDIST($A$103,0,$B$7,FALSE())*(NORMDIST((F61-$A$103)/F18,0,1,TRUE())-NORMDIST((-F61-$A$103)/F18,0,1,TRUE()))</f>
        <v>7.0287843683923532E-2</v>
      </c>
      <c r="V103">
        <f>NORMDIST($A$103,0,$B$7,FALSE())*(NORMDIST((G26-$A$103)/G18,0,1,TRUE())-NORMDIST((-G26-$A$103)/G18,0,1,TRUE()))</f>
        <v>0.10091640516088989</v>
      </c>
      <c r="W103">
        <f>NORMDIST($A$103,0,$B$7,FALSE())*(NORMDIST((G61-$A$103)/G18,0,1,TRUE())-NORMDIST((-G61-$A$103)/G18,0,1,TRUE()))</f>
        <v>0.1009938442242958</v>
      </c>
      <c r="X103">
        <f>NORMDIST($A$103,0,$B$7,FALSE())*(NORMDIST((H26-$A$103)/H18,0,1,TRUE())-NORMDIST((-H26-$A$103)/H18,0,1,TRUE()))</f>
        <v>4.0034588954558602E-3</v>
      </c>
      <c r="Y103">
        <f>NORMDIST($A$103,0,$B$7,FALSE())*(NORMDIST((H61-$A$103)/H18,0,1,TRUE())-NORMDIST((-H61-$A$103)/H18,0,1,TRUE()))</f>
        <v>3.6368988222775366E-2</v>
      </c>
      <c r="Z103">
        <f>NORMDIST($A$103,0,$B$7,FALSE())*(NORMDIST((J26-$A$103)/J18,0,1,TRUE())-NORMDIST((-J26-$A$103)/J18,0,1,TRUE()))</f>
        <v>4.9725256622892245E-3</v>
      </c>
      <c r="AA103">
        <f>NORMDIST($A$103,0,$B$7,FALSE())*(NORMDIST((J61-$A$103)/J18,0,1,TRUE())-NORMDIST((-J61-$A$103)/J18,0,1,TRUE()))</f>
        <v>5.0378304105333858E-2</v>
      </c>
      <c r="AB103">
        <f>NORMDIST($A$103,0,$B$7,FALSE())*(NORMDIST((K26-$A$103)/K18,0,1,TRUE())-NORMDIST((-K26-$A$103)/K18,0,1,TRUE()))</f>
        <v>6.1203829469580482E-3</v>
      </c>
      <c r="AC103">
        <f>NORMDIST($A$103,0,$B$7,FALSE())*(NORMDIST((K61-$A$103)/K18,0,1,TRUE())-NORMDIST((-K61-$A$103)/K18,0,1,TRUE()))</f>
        <v>6.2559768986361536E-2</v>
      </c>
      <c r="AD103">
        <f>NORMDIST($A$103,0,$B$7,FALSE())*(NORMDIST((L26-$A$103)/L18,0,1,TRUE())-NORMDIST((-L26-$A$103)/L18,0,1,TRUE()))</f>
        <v>7.4658023727831703E-3</v>
      </c>
      <c r="AE103">
        <f>NORMDIST($A$103,0,$B$7,FALSE())*(NORMDIST((L61-$A$103)/L18,0,1,TRUE())-NORMDIST((-L61-$A$103)/L18,0,1,TRUE()))</f>
        <v>7.0287843683923532E-2</v>
      </c>
      <c r="AF103">
        <f t="shared" ref="AF103:AK103" si="64">NORMDIST($A$103,0,$B$7,FALSE())*(NORMDIST((C216-$A$103)/C18,0,1,TRUE())-NORMDIST((-C216-$A$103)/C18,0,1,TRUE()))</f>
        <v>5.2668242974996719E-2</v>
      </c>
      <c r="AG103">
        <f t="shared" si="64"/>
        <v>6.2820582262790678E-2</v>
      </c>
      <c r="AH103">
        <f t="shared" si="64"/>
        <v>6.400784027885259E-2</v>
      </c>
      <c r="AI103">
        <f t="shared" si="64"/>
        <v>7.0287843683923532E-2</v>
      </c>
      <c r="AJ103">
        <f t="shared" si="64"/>
        <v>0.1009938442242958</v>
      </c>
      <c r="AK103">
        <f t="shared" si="64"/>
        <v>5.2668242974996719E-2</v>
      </c>
      <c r="AL103">
        <f>NORMDIST($A$103,0,$B$7,FALSE())*(NORMDIST((J216-$A$103)/J18,0,1,TRUE())-NORMDIST((-J216-$A$103)/J18,0,1,TRUE()))</f>
        <v>6.2701205494883755E-2</v>
      </c>
      <c r="AM103">
        <f>NORMDIST($A$103,0,$B$7,FALSE())*(NORMDIST((K216-$A$103)/K18,0,1,TRUE())-NORMDIST((-K216-$A$103)/K18,0,1,TRUE()))</f>
        <v>6.657424975891986E-2</v>
      </c>
      <c r="AN103">
        <f>NORMDIST($A$103,0,$B$7,FALSE())*(NORMDIST((L216-$A$103)/L18,0,1,TRUE())-NORMDIST((-L216-$A$103)/L18,0,1,TRUE()))</f>
        <v>7.0287843683923532E-2</v>
      </c>
      <c r="AO103">
        <f t="shared" ref="AO103:AT103" si="65">NORMDIST($A$103,0,$B$7,FALSE())*(NORMDIST(($B$5-$A$103)/C18,0,1,TRUE())-NORMDIST((-$B$5-$A$103)/C18,0,1,TRUE()))</f>
        <v>5.8704096452156483E-2</v>
      </c>
      <c r="AP103">
        <f t="shared" si="65"/>
        <v>6.2820582262790678E-2</v>
      </c>
      <c r="AQ103">
        <f t="shared" si="65"/>
        <v>6.400784027885259E-2</v>
      </c>
      <c r="AR103">
        <f t="shared" si="65"/>
        <v>7.0287843683923532E-2</v>
      </c>
      <c r="AS103">
        <f t="shared" si="65"/>
        <v>0.1009938442242958</v>
      </c>
      <c r="AT103">
        <f t="shared" si="65"/>
        <v>5.8704096452156483E-2</v>
      </c>
    </row>
    <row r="104" spans="1:46" ht="15" customHeight="1" x14ac:dyDescent="0.25">
      <c r="A104">
        <f>A102+2*2*$B$5/39</f>
        <v>-1.7948717948717949</v>
      </c>
      <c r="N104">
        <f>NORMDIST($A$104,0,$B$7,FALSE())*(NORMDIST((C26-$A$104)/C18,0,1,TRUE())-NORMDIST((-C26-$A$104)/C18,0,1,TRUE()))</f>
        <v>6.9069931841903636E-3</v>
      </c>
      <c r="O104">
        <f>NORMDIST($A$104,0,$B$7,FALSE())*(NORMDIST((C61-$A$104)/C18,0,1,TRUE())-NORMDIST((-C61-$A$104)/C18,0,1,TRUE()))</f>
        <v>5.0055707539979358E-2</v>
      </c>
      <c r="P104">
        <f>NORMDIST($A$104,0,$B$7,FALSE())*(NORMDIST((D26-$A$104)/D18,0,1,TRUE())-NORMDIST((-D26-$A$104)/D18,0,1,TRUE()))</f>
        <v>1.0301320306408523E-2</v>
      </c>
      <c r="Q104">
        <f>NORMDIST($A$104,0,$B$7,FALSE())*(NORMDIST((D61-$A$104)/D18,0,1,TRUE())-NORMDIST((-D61-$A$104)/D18,0,1,TRUE()))</f>
        <v>7.1194580351309697E-2</v>
      </c>
      <c r="R104">
        <f>NORMDIST($A$104,0,$B$7,FALSE())*(NORMDIST((E26-$A$104)/E18,0,1,TRUE())-NORMDIST((-E26-$A$104)/E18,0,1,TRUE()))</f>
        <v>1.1504010255175888E-2</v>
      </c>
      <c r="S104">
        <f>NORMDIST($A$104,0,$B$7,FALSE())*(NORMDIST((E61-$A$104)/E18,0,1,TRUE())-NORMDIST((-E61-$A$104)/E18,0,1,TRUE()))</f>
        <v>7.658877600667896E-2</v>
      </c>
      <c r="T104">
        <f>NORMDIST($A$104,0,$B$7,FALSE())*(NORMDIST((F26-$A$104)/F18,0,1,TRUE())-NORMDIST((-F26-$A$104)/F18,0,1,TRUE()))</f>
        <v>1.9952202303007576E-2</v>
      </c>
      <c r="U104">
        <f>NORMDIST($A$104,0,$B$7,FALSE())*(NORMDIST((F61-$A$104)/F18,0,1,TRUE())-NORMDIST((-F61-$A$104)/F18,0,1,TRUE()))</f>
        <v>9.6589426046776825E-2</v>
      </c>
      <c r="V104">
        <f>NORMDIST($A$104,0,$B$7,FALSE())*(NORMDIST((G26-$A$104)/G18,0,1,TRUE())-NORMDIST((-G26-$A$104)/G18,0,1,TRUE()))</f>
        <v>0.11397391399257048</v>
      </c>
      <c r="W104">
        <f>NORMDIST($A$104,0,$B$7,FALSE())*(NORMDIST((G61-$A$104)/G18,0,1,TRUE())-NORMDIST((-G61-$A$104)/G18,0,1,TRUE()))</f>
        <v>0.11397391399257048</v>
      </c>
      <c r="X104">
        <f>NORMDIST($A$104,0,$B$7,FALSE())*(NORMDIST((H26-$A$104)/H18,0,1,TRUE())-NORMDIST((-H26-$A$104)/H18,0,1,TRUE()))</f>
        <v>6.9069931841903636E-3</v>
      </c>
      <c r="Y104">
        <f>NORMDIST($A$104,0,$B$7,FALSE())*(NORMDIST((H61-$A$104)/H18,0,1,TRUE())-NORMDIST((-H61-$A$104)/H18,0,1,TRUE()))</f>
        <v>5.0055707539979358E-2</v>
      </c>
      <c r="Z104">
        <f>NORMDIST($A$104,0,$B$7,FALSE())*(NORMDIST((J26-$A$104)/J18,0,1,TRUE())-NORMDIST((-J26-$A$104)/J18,0,1,TRUE()))</f>
        <v>1.0186388503128682E-2</v>
      </c>
      <c r="AA104">
        <f>NORMDIST($A$104,0,$B$7,FALSE())*(NORMDIST((J61-$A$104)/J18,0,1,TRUE())-NORMDIST((-J61-$A$104)/J18,0,1,TRUE()))</f>
        <v>7.0632025826120409E-2</v>
      </c>
      <c r="AB104">
        <f>NORMDIST($A$104,0,$B$7,FALSE())*(NORMDIST((K26-$A$104)/K18,0,1,TRUE())-NORMDIST((-K26-$A$104)/K18,0,1,TRUE()))</f>
        <v>1.4503181273310056E-2</v>
      </c>
      <c r="AC104">
        <f>NORMDIST($A$104,0,$B$7,FALSE())*(NORMDIST((K61-$A$104)/K18,0,1,TRUE())-NORMDIST((-K61-$A$104)/K18,0,1,TRUE()))</f>
        <v>8.6901684480497468E-2</v>
      </c>
      <c r="AD104">
        <f>NORMDIST($A$104,0,$B$7,FALSE())*(NORMDIST((L26-$A$104)/L18,0,1,TRUE())-NORMDIST((-L26-$A$104)/L18,0,1,TRUE()))</f>
        <v>1.9952202303007576E-2</v>
      </c>
      <c r="AE104">
        <f>NORMDIST($A$104,0,$B$7,FALSE())*(NORMDIST((L61-$A$104)/L18,0,1,TRUE())-NORMDIST((-L61-$A$104)/L18,0,1,TRUE()))</f>
        <v>9.6589426046776825E-2</v>
      </c>
      <c r="AF104">
        <f t="shared" ref="AF104:AK104" si="66">NORMDIST($A$104,0,$B$7,FALSE())*(NORMDIST((C216-$A$104)/C18,0,1,TRUE())-NORMDIST((-C216-$A$104)/C18,0,1,TRUE()))</f>
        <v>6.863508214917835E-2</v>
      </c>
      <c r="AG104">
        <f t="shared" si="66"/>
        <v>8.3531224429454987E-2</v>
      </c>
      <c r="AH104">
        <f t="shared" si="66"/>
        <v>8.581515995490091E-2</v>
      </c>
      <c r="AI104">
        <f t="shared" si="66"/>
        <v>9.6589426046776825E-2</v>
      </c>
      <c r="AJ104">
        <f t="shared" si="66"/>
        <v>0.11397391399257048</v>
      </c>
      <c r="AK104">
        <f t="shared" si="66"/>
        <v>6.863508214917835E-2</v>
      </c>
      <c r="AL104">
        <f>NORMDIST($A$104,0,$B$7,FALSE())*(NORMDIST((J216-$A$104)/J18,0,1,TRUE())-NORMDIST((-J216-$A$104)/J18,0,1,TRUE()))</f>
        <v>8.3297792357172371E-2</v>
      </c>
      <c r="AM104">
        <f>NORMDIST($A$104,0,$B$7,FALSE())*(NORMDIST((K216-$A$104)/K18,0,1,TRUE())-NORMDIST((-K216-$A$104)/K18,0,1,TRUE()))</f>
        <v>9.0499628767903434E-2</v>
      </c>
      <c r="AN104">
        <f>NORMDIST($A$104,0,$B$7,FALSE())*(NORMDIST((L216-$A$104)/L18,0,1,TRUE())-NORMDIST((-L216-$A$104)/L18,0,1,TRUE()))</f>
        <v>9.6589426046776825E-2</v>
      </c>
      <c r="AO104">
        <f t="shared" ref="AO104:AT104" si="67">NORMDIST($A$104,0,$B$7,FALSE())*(NORMDIST(($B$5-$A$104)/C18,0,1,TRUE())-NORMDIST((-$B$5-$A$104)/C18,0,1,TRUE()))</f>
        <v>7.5130586073338654E-2</v>
      </c>
      <c r="AP104">
        <f t="shared" si="67"/>
        <v>8.3531224429454987E-2</v>
      </c>
      <c r="AQ104">
        <f t="shared" si="67"/>
        <v>8.581515995490091E-2</v>
      </c>
      <c r="AR104">
        <f t="shared" si="67"/>
        <v>9.6589426046776825E-2</v>
      </c>
      <c r="AS104">
        <f t="shared" si="67"/>
        <v>0.11397391399257048</v>
      </c>
      <c r="AT104">
        <f t="shared" si="67"/>
        <v>7.5130586073338654E-2</v>
      </c>
    </row>
    <row r="105" spans="1:46" ht="15" customHeight="1" x14ac:dyDescent="0.25">
      <c r="A105">
        <f>A102+3*2*$B$5/39</f>
        <v>-1.6923076923076923</v>
      </c>
      <c r="N105">
        <f>NORMDIST($A$105,0,$B$7,FALSE())*(NORMDIST((C26-$A$105)/C18,0,1,TRUE())-NORMDIST((-C26-$A$105)/C18,0,1,TRUE()))</f>
        <v>1.1418612648853979E-2</v>
      </c>
      <c r="O105">
        <f>NORMDIST($A$105,0,$B$7,FALSE())*(NORMDIST((C61-$A$105)/C18,0,1,TRUE())-NORMDIST((-C61-$A$105)/C18,0,1,TRUE()))</f>
        <v>6.6534554626393183E-2</v>
      </c>
      <c r="P105">
        <f>NORMDIST($A$105,0,$B$7,FALSE())*(NORMDIST((D26-$A$105)/D18,0,1,TRUE())-NORMDIST((-D26-$A$105)/D18,0,1,TRUE()))</f>
        <v>1.9428535257509347E-2</v>
      </c>
      <c r="Q105">
        <f>NORMDIST($A$105,0,$B$7,FALSE())*(NORMDIST((D61-$A$105)/D18,0,1,TRUE())-NORMDIST((-D61-$A$105)/D18,0,1,TRUE()))</f>
        <v>9.3926544466665124E-2</v>
      </c>
      <c r="R105">
        <f>NORMDIST($A$105,0,$B$7,FALSE())*(NORMDIST((E26-$A$105)/E18,0,1,TRUE())-NORMDIST((-E26-$A$105)/E18,0,1,TRUE()))</f>
        <v>2.2365781900550465E-2</v>
      </c>
      <c r="S105">
        <f>NORMDIST($A$105,0,$B$7,FALSE())*(NORMDIST((E61-$A$105)/E18,0,1,TRUE())-NORMDIST((-E61-$A$105)/E18,0,1,TRUE()))</f>
        <v>0.10022112557786038</v>
      </c>
      <c r="T105">
        <f>NORMDIST($A$105,0,$B$7,FALSE())*(NORMDIST((F26-$A$105)/F18,0,1,TRUE())-NORMDIST((-F26-$A$105)/F18,0,1,TRUE()))</f>
        <v>4.3014737131324386E-2</v>
      </c>
      <c r="U105">
        <f>NORMDIST($A$105,0,$B$7,FALSE())*(NORMDIST((F61-$A$105)/F18,0,1,TRUE())-NORMDIST((-F61-$A$105)/F18,0,1,TRUE()))</f>
        <v>0.11984403085995632</v>
      </c>
      <c r="V105">
        <f>NORMDIST($A$105,0,$B$7,FALSE())*(NORMDIST((G26-$A$105)/G18,0,1,TRUE())-NORMDIST((-G26-$A$105)/G18,0,1,TRUE()))</f>
        <v>0.12776111949935859</v>
      </c>
      <c r="W105">
        <f>NORMDIST($A$105,0,$B$7,FALSE())*(NORMDIST((G61-$A$105)/G18,0,1,TRUE())-NORMDIST((-G61-$A$105)/G18,0,1,TRUE()))</f>
        <v>0.12776111949935859</v>
      </c>
      <c r="X105">
        <f>NORMDIST($A$105,0,$B$7,FALSE())*(NORMDIST((H26-$A$105)/H18,0,1,TRUE())-NORMDIST((-H26-$A$105)/H18,0,1,TRUE()))</f>
        <v>1.1418612648853979E-2</v>
      </c>
      <c r="Y105">
        <f>NORMDIST($A$105,0,$B$7,FALSE())*(NORMDIST((H61-$A$105)/H18,0,1,TRUE())-NORMDIST((-H61-$A$105)/H18,0,1,TRUE()))</f>
        <v>6.6534554626393183E-2</v>
      </c>
      <c r="Z105">
        <f>NORMDIST($A$105,0,$B$7,FALSE())*(NORMDIST((J26-$A$105)/J18,0,1,TRUE())-NORMDIST((-J26-$A$105)/J18,0,1,TRUE()))</f>
        <v>1.9149584510787993E-2</v>
      </c>
      <c r="AA105">
        <f>NORMDIST($A$105,0,$B$7,FALSE())*(NORMDIST((J61-$A$105)/J18,0,1,TRUE())-NORMDIST((-J61-$A$105)/J18,0,1,TRUE()))</f>
        <v>9.3249874782550646E-2</v>
      </c>
      <c r="AB105">
        <f>NORMDIST($A$105,0,$B$7,FALSE())*(NORMDIST((K26-$A$105)/K18,0,1,TRUE())-NORMDIST((-K26-$A$105)/K18,0,1,TRUE()))</f>
        <v>2.9759430310935E-2</v>
      </c>
      <c r="AC105">
        <f>NORMDIST($A$105,0,$B$7,FALSE())*(NORMDIST((K61-$A$105)/K18,0,1,TRUE())-NORMDIST((-K61-$A$105)/K18,0,1,TRUE()))</f>
        <v>0.1111017289054393</v>
      </c>
      <c r="AD105">
        <f>NORMDIST($A$105,0,$B$7,FALSE())*(NORMDIST((L26-$A$105)/L18,0,1,TRUE())-NORMDIST((-L26-$A$105)/L18,0,1,TRUE()))</f>
        <v>4.3014737131324386E-2</v>
      </c>
      <c r="AE105">
        <f>NORMDIST($A$105,0,$B$7,FALSE())*(NORMDIST((L61-$A$105)/L18,0,1,TRUE())-NORMDIST((-L61-$A$105)/L18,0,1,TRUE()))</f>
        <v>0.11984403085995632</v>
      </c>
      <c r="AF105">
        <f t="shared" ref="AF105:AK105" si="68">NORMDIST($A$105,0,$B$7,FALSE())*(NORMDIST((C216-$A$105)/C18,0,1,TRUE())-NORMDIST((-C216-$A$105)/C18,0,1,TRUE()))</f>
        <v>8.6716370280725832E-2</v>
      </c>
      <c r="AG105">
        <f t="shared" si="68"/>
        <v>0.10533077923907171</v>
      </c>
      <c r="AH105">
        <f t="shared" si="68"/>
        <v>0.10827366343092451</v>
      </c>
      <c r="AI105">
        <f t="shared" si="68"/>
        <v>0.11984403085995632</v>
      </c>
      <c r="AJ105">
        <f t="shared" si="68"/>
        <v>0.12776111949935859</v>
      </c>
      <c r="AK105">
        <f t="shared" si="68"/>
        <v>8.6716370280725832E-2</v>
      </c>
      <c r="AL105">
        <f>NORMDIST($A$105,0,$B$7,FALSE())*(NORMDIST((J216-$A$105)/J18,0,1,TRUE())-NORMDIST((-J216-$A$105)/J18,0,1,TRUE()))</f>
        <v>0.10502174063828673</v>
      </c>
      <c r="AM105">
        <f>NORMDIST($A$105,0,$B$7,FALSE())*(NORMDIST((K216-$A$105)/K18,0,1,TRUE())-NORMDIST((-K216-$A$105)/K18,0,1,TRUE()))</f>
        <v>0.11380901840364926</v>
      </c>
      <c r="AN105">
        <f>NORMDIST($A$105,0,$B$7,FALSE())*(NORMDIST((L216-$A$105)/L18,0,1,TRUE())-NORMDIST((-L216-$A$105)/L18,0,1,TRUE()))</f>
        <v>0.11984403085995632</v>
      </c>
      <c r="AO105">
        <f t="shared" ref="AO105:AT105" si="69">NORMDIST($A$105,0,$B$7,FALSE())*(NORMDIST(($B$5-$A$105)/C18,0,1,TRUE())-NORMDIST((-$B$5-$A$105)/C18,0,1,TRUE()))</f>
        <v>9.3374166338361181E-2</v>
      </c>
      <c r="AP105">
        <f t="shared" si="69"/>
        <v>0.10533077923907171</v>
      </c>
      <c r="AQ105">
        <f t="shared" si="69"/>
        <v>0.10827366343092451</v>
      </c>
      <c r="AR105">
        <f t="shared" si="69"/>
        <v>0.11984403085995632</v>
      </c>
      <c r="AS105">
        <f t="shared" si="69"/>
        <v>0.12776111949935859</v>
      </c>
      <c r="AT105">
        <f t="shared" si="69"/>
        <v>9.3374166338361181E-2</v>
      </c>
    </row>
    <row r="106" spans="1:46" ht="15" customHeight="1" x14ac:dyDescent="0.25">
      <c r="A106">
        <f>A102+4*2*$B$5/39</f>
        <v>-1.5897435897435899</v>
      </c>
      <c r="N106">
        <f>NORMDIST($A$106,0,$B$7,FALSE())*(NORMDIST((C26-$A$106)/C18,0,1,TRUE())-NORMDIST((-C26-$A$106)/C18,0,1,TRUE()))</f>
        <v>1.8102235525274506E-2</v>
      </c>
      <c r="O106">
        <f>NORMDIST($A$106,0,$B$7,FALSE())*(NORMDIST((C61-$A$106)/C18,0,1,TRUE())-NORMDIST((-C61-$A$106)/C18,0,1,TRUE()))</f>
        <v>8.5567278905480118E-2</v>
      </c>
      <c r="P106">
        <f>NORMDIST($A$106,0,$B$7,FALSE())*(NORMDIST((D26-$A$106)/D18,0,1,TRUE())-NORMDIST((-D26-$A$106)/D18,0,1,TRUE()))</f>
        <v>3.3679304457943746E-2</v>
      </c>
      <c r="Q106">
        <f>NORMDIST($A$106,0,$B$7,FALSE())*(NORMDIST((D61-$A$106)/D18,0,1,TRUE())-NORMDIST((-D61-$A$106)/D18,0,1,TRUE()))</f>
        <v>0.11753595380770981</v>
      </c>
      <c r="R106">
        <f>NORMDIST($A$106,0,$B$7,FALSE())*(NORMDIST((E26-$A$106)/E18,0,1,TRUE())-NORMDIST((-E26-$A$106)/E18,0,1,TRUE()))</f>
        <v>3.9371863503901386E-2</v>
      </c>
      <c r="S106">
        <f>NORMDIST($A$106,0,$B$7,FALSE())*(NORMDIST((E61-$A$106)/E18,0,1,TRUE())-NORMDIST((-E61-$A$106)/E18,0,1,TRUE()))</f>
        <v>0.12384714916978122</v>
      </c>
      <c r="T106">
        <f>NORMDIST($A$106,0,$B$7,FALSE())*(NORMDIST((F26-$A$106)/F18,0,1,TRUE())-NORMDIST((-F26-$A$106)/F18,0,1,TRUE()))</f>
        <v>7.6301970017751894E-2</v>
      </c>
      <c r="U106">
        <f>NORMDIST($A$106,0,$B$7,FALSE())*(NORMDIST((F61-$A$106)/F18,0,1,TRUE())-NORMDIST((-F61-$A$106)/F18,0,1,TRUE()))</f>
        <v>0.13939516552970946</v>
      </c>
      <c r="V106">
        <f>NORMDIST($A$106,0,$B$7,FALSE())*(NORMDIST((G26-$A$106)/G18,0,1,TRUE())-NORMDIST((-G26-$A$106)/G18,0,1,TRUE()))</f>
        <v>0.14225734688609076</v>
      </c>
      <c r="W106">
        <f>NORMDIST($A$106,0,$B$7,FALSE())*(NORMDIST((G61-$A$106)/G18,0,1,TRUE())-NORMDIST((-G61-$A$106)/G18,0,1,TRUE()))</f>
        <v>0.14225734688609076</v>
      </c>
      <c r="X106">
        <f>NORMDIST($A$106,0,$B$7,FALSE())*(NORMDIST((H26-$A$106)/H18,0,1,TRUE())-NORMDIST((-H26-$A$106)/H18,0,1,TRUE()))</f>
        <v>1.8102235525274506E-2</v>
      </c>
      <c r="Y106">
        <f>NORMDIST($A$106,0,$B$7,FALSE())*(NORMDIST((H61-$A$106)/H18,0,1,TRUE())-NORMDIST((-H61-$A$106)/H18,0,1,TRUE()))</f>
        <v>8.5567278905480118E-2</v>
      </c>
      <c r="Z106">
        <f>NORMDIST($A$106,0,$B$7,FALSE())*(NORMDIST((J26-$A$106)/J18,0,1,TRUE())-NORMDIST((-J26-$A$106)/J18,0,1,TRUE()))</f>
        <v>3.3136040271597465E-2</v>
      </c>
      <c r="AA106">
        <f>NORMDIST($A$106,0,$B$7,FALSE())*(NORMDIST((J61-$A$106)/J18,0,1,TRUE())-NORMDIST((-J61-$A$106)/J18,0,1,TRUE()))</f>
        <v>0.11682860236581062</v>
      </c>
      <c r="AB106">
        <f>NORMDIST($A$106,0,$B$7,FALSE())*(NORMDIST((K26-$A$106)/K18,0,1,TRUE())-NORMDIST((-K26-$A$106)/K18,0,1,TRUE()))</f>
        <v>5.3328435307668447E-2</v>
      </c>
      <c r="AC106">
        <f>NORMDIST($A$106,0,$B$7,FALSE())*(NORMDIST((K61-$A$106)/K18,0,1,TRUE())-NORMDIST((-K61-$A$106)/K18,0,1,TRUE()))</f>
        <v>0.13337784750996098</v>
      </c>
      <c r="AD106">
        <f>NORMDIST($A$106,0,$B$7,FALSE())*(NORMDIST((L26-$A$106)/L18,0,1,TRUE())-NORMDIST((-L26-$A$106)/L18,0,1,TRUE()))</f>
        <v>7.6301970017751894E-2</v>
      </c>
      <c r="AE106">
        <f>NORMDIST($A$106,0,$B$7,FALSE())*(NORMDIST((L61-$A$106)/L18,0,1,TRUE())-NORMDIST((-L61-$A$106)/L18,0,1,TRUE()))</f>
        <v>0.13939516552970946</v>
      </c>
      <c r="AF106">
        <f t="shared" ref="AF106:AK106" si="70">NORMDIST($A$106,0,$B$7,FALSE())*(NORMDIST((C216-$A$106)/C18,0,1,TRUE())-NORMDIST((-C216-$A$106)/C18,0,1,TRUE()))</f>
        <v>0.10645807742869866</v>
      </c>
      <c r="AG106">
        <f t="shared" si="70"/>
        <v>0.12705048570167607</v>
      </c>
      <c r="AH106">
        <f t="shared" si="70"/>
        <v>0.13006148623294303</v>
      </c>
      <c r="AI106">
        <f t="shared" si="70"/>
        <v>0.13939516552970946</v>
      </c>
      <c r="AJ106">
        <f t="shared" si="70"/>
        <v>0.14225734688609076</v>
      </c>
      <c r="AK106">
        <f t="shared" si="70"/>
        <v>0.10645807742869866</v>
      </c>
      <c r="AL106">
        <f>NORMDIST($A$106,0,$B$7,FALSE())*(NORMDIST((J216-$A$106)/J18,0,1,TRUE())-NORMDIST((-J216-$A$106)/J18,0,1,TRUE()))</f>
        <v>0.12672219117408956</v>
      </c>
      <c r="AM106">
        <f>NORMDIST($A$106,0,$B$7,FALSE())*(NORMDIST((K216-$A$106)/K18,0,1,TRUE())-NORMDIST((-K216-$A$106)/K18,0,1,TRUE()))</f>
        <v>0.13508813903823383</v>
      </c>
      <c r="AN106">
        <f>NORMDIST($A$106,0,$B$7,FALSE())*(NORMDIST((L216-$A$106)/L18,0,1,TRUE())-NORMDIST((-L216-$A$106)/L18,0,1,TRUE()))</f>
        <v>0.13939516552970946</v>
      </c>
      <c r="AO106">
        <f t="shared" ref="AO106:AT106" si="71">NORMDIST($A$106,0,$B$7,FALSE())*(NORMDIST(($B$5-$A$106)/C18,0,1,TRUE())-NORMDIST((-$B$5-$A$106)/C18,0,1,TRUE()))</f>
        <v>0.11295775174950672</v>
      </c>
      <c r="AP106">
        <f t="shared" si="71"/>
        <v>0.12705048570167607</v>
      </c>
      <c r="AQ106">
        <f t="shared" si="71"/>
        <v>0.13006148623294303</v>
      </c>
      <c r="AR106">
        <f t="shared" si="71"/>
        <v>0.13939516552970946</v>
      </c>
      <c r="AS106">
        <f t="shared" si="71"/>
        <v>0.14225734688609076</v>
      </c>
      <c r="AT106">
        <f t="shared" si="71"/>
        <v>0.11295775174950672</v>
      </c>
    </row>
    <row r="107" spans="1:46" ht="15" customHeight="1" x14ac:dyDescent="0.25">
      <c r="A107">
        <f>A102+5*2*$B$5/39</f>
        <v>-1.4871794871794872</v>
      </c>
      <c r="N107">
        <f>NORMDIST($A$107,0,$B$7,FALSE())*(NORMDIST((C26-$A$107)/C18,0,1,TRUE())-NORMDIST((-C26-$A$107)/C18,0,1,TRUE()))</f>
        <v>2.7543439251784329E-2</v>
      </c>
      <c r="O107">
        <f>NORMDIST($A$107,0,$B$7,FALSE())*(NORMDIST((C61-$A$107)/C18,0,1,TRUE())-NORMDIST((-C61-$A$107)/C18,0,1,TRUE()))</f>
        <v>0.10668849058901171</v>
      </c>
      <c r="P107">
        <f>NORMDIST($A$107,0,$B$7,FALSE())*(NORMDIST((D26-$A$107)/D18,0,1,TRUE())-NORMDIST((-D26-$A$107)/D18,0,1,TRUE()))</f>
        <v>5.3868083860112902E-2</v>
      </c>
      <c r="Q107">
        <f>NORMDIST($A$107,0,$B$7,FALSE())*(NORMDIST((D61-$A$107)/D18,0,1,TRUE())-NORMDIST((-D61-$A$107)/D18,0,1,TRUE()))</f>
        <v>0.14071910883070626</v>
      </c>
      <c r="R107">
        <f>NORMDIST($A$107,0,$B$7,FALSE())*(NORMDIST((E26-$A$107)/E18,0,1,TRUE())-NORMDIST((-E26-$A$107)/E18,0,1,TRUE()))</f>
        <v>6.3102322996766241E-2</v>
      </c>
      <c r="S107">
        <f>NORMDIST($A$107,0,$B$7,FALSE())*(NORMDIST((E61-$A$107)/E18,0,1,TRUE())-NORMDIST((-E61-$A$107)/E18,0,1,TRUE()))</f>
        <v>0.14622361223155061</v>
      </c>
      <c r="T107">
        <f>NORMDIST($A$107,0,$B$7,FALSE())*(NORMDIST((F26-$A$107)/F18,0,1,TRUE())-NORMDIST((-F26-$A$107)/F18,0,1,TRUE()))</f>
        <v>0.11440234486899398</v>
      </c>
      <c r="U107">
        <f>NORMDIST($A$107,0,$B$7,FALSE())*(NORMDIST((F61-$A$107)/F18,0,1,TRUE())-NORMDIST((-F61-$A$107)/F18,0,1,TRUE()))</f>
        <v>0.15652416172698985</v>
      </c>
      <c r="V107">
        <f>NORMDIST($A$107,0,$B$7,FALSE())*(NORMDIST((G26-$A$107)/G18,0,1,TRUE())-NORMDIST((-G26-$A$107)/G18,0,1,TRUE()))</f>
        <v>0.15733793691737982</v>
      </c>
      <c r="W107">
        <f>NORMDIST($A$107,0,$B$7,FALSE())*(NORMDIST((G61-$A$107)/G18,0,1,TRUE())-NORMDIST((-G61-$A$107)/G18,0,1,TRUE()))</f>
        <v>0.15733793691737982</v>
      </c>
      <c r="X107">
        <f>NORMDIST($A$107,0,$B$7,FALSE())*(NORMDIST((H26-$A$107)/H18,0,1,TRUE())-NORMDIST((-H26-$A$107)/H18,0,1,TRUE()))</f>
        <v>2.7543439251784329E-2</v>
      </c>
      <c r="Y107">
        <f>NORMDIST($A$107,0,$B$7,FALSE())*(NORMDIST((H61-$A$107)/H18,0,1,TRUE())-NORMDIST((-H61-$A$107)/H18,0,1,TRUE()))</f>
        <v>0.10668849058901171</v>
      </c>
      <c r="Z107">
        <f>NORMDIST($A$107,0,$B$7,FALSE())*(NORMDIST((J26-$A$107)/J18,0,1,TRUE())-NORMDIST((-J26-$A$107)/J18,0,1,TRUE()))</f>
        <v>5.2972688591069871E-2</v>
      </c>
      <c r="AA107">
        <f>NORMDIST($A$107,0,$B$7,FALSE())*(NORMDIST((J61-$A$107)/J18,0,1,TRUE())-NORMDIST((-J61-$A$107)/J18,0,1,TRUE()))</f>
        <v>0.14006910142404971</v>
      </c>
      <c r="AB107">
        <f>NORMDIST($A$107,0,$B$7,FALSE())*(NORMDIST((K26-$A$107)/K18,0,1,TRUE())-NORMDIST((-K26-$A$107)/K18,0,1,TRUE()))</f>
        <v>8.4390682155331728E-2</v>
      </c>
      <c r="AC107">
        <f>NORMDIST($A$107,0,$B$7,FALSE())*(NORMDIST((K61-$A$107)/K18,0,1,TRUE())-NORMDIST((-K61-$A$107)/K18,0,1,TRUE()))</f>
        <v>0.15326522633967501</v>
      </c>
      <c r="AD107">
        <f>NORMDIST($A$107,0,$B$7,FALSE())*(NORMDIST((L26-$A$107)/L18,0,1,TRUE())-NORMDIST((-L26-$A$107)/L18,0,1,TRUE()))</f>
        <v>0.11440234486899398</v>
      </c>
      <c r="AE107">
        <f>NORMDIST($A$107,0,$B$7,FALSE())*(NORMDIST((L61-$A$107)/L18,0,1,TRUE())-NORMDIST((-L61-$A$107)/L18,0,1,TRUE()))</f>
        <v>0.15652416172698985</v>
      </c>
      <c r="AF107">
        <f t="shared" ref="AF107:AK107" si="72">NORMDIST($A$107,0,$B$7,FALSE())*(NORMDIST((C216-$A$107)/C18,0,1,TRUE())-NORMDIST((-C216-$A$107)/C18,0,1,TRUE()))</f>
        <v>0.12729551044860105</v>
      </c>
      <c r="AG107">
        <f t="shared" si="72"/>
        <v>0.1478831819973668</v>
      </c>
      <c r="AH107">
        <f t="shared" si="72"/>
        <v>0.15046411271950297</v>
      </c>
      <c r="AI107">
        <f t="shared" si="72"/>
        <v>0.15652416172698985</v>
      </c>
      <c r="AJ107">
        <f t="shared" si="72"/>
        <v>0.15733793691737982</v>
      </c>
      <c r="AK107">
        <f t="shared" si="72"/>
        <v>0.12729551044860105</v>
      </c>
      <c r="AL107">
        <f>NORMDIST($A$107,0,$B$7,FALSE())*(NORMDIST((J216-$A$107)/J18,0,1,TRUE())-NORMDIST((-J216-$A$107)/J18,0,1,TRUE()))</f>
        <v>0.14758803493000852</v>
      </c>
      <c r="AM107">
        <f>NORMDIST($A$107,0,$B$7,FALSE())*(NORMDIST((K216-$A$107)/K18,0,1,TRUE())-NORMDIST((-K216-$A$107)/K18,0,1,TRUE()))</f>
        <v>0.15417233795497956</v>
      </c>
      <c r="AN107">
        <f>NORMDIST($A$107,0,$B$7,FALSE())*(NORMDIST((L216-$A$107)/L18,0,1,TRUE())-NORMDIST((-L216-$A$107)/L18,0,1,TRUE()))</f>
        <v>0.15652416172698985</v>
      </c>
      <c r="AO107">
        <f t="shared" ref="AO107:AT107" si="73">NORMDIST($A$107,0,$B$7,FALSE())*(NORMDIST(($B$5-$A$107)/C18,0,1,TRUE())-NORMDIST((-$B$5-$A$107)/C18,0,1,TRUE()))</f>
        <v>0.13333911673154253</v>
      </c>
      <c r="AP107">
        <f t="shared" si="73"/>
        <v>0.1478831819973668</v>
      </c>
      <c r="AQ107">
        <f t="shared" si="73"/>
        <v>0.15046411271950297</v>
      </c>
      <c r="AR107">
        <f t="shared" si="73"/>
        <v>0.15652416172698985</v>
      </c>
      <c r="AS107">
        <f t="shared" si="73"/>
        <v>0.15733793691737982</v>
      </c>
      <c r="AT107">
        <f t="shared" si="73"/>
        <v>0.13333911673154253</v>
      </c>
    </row>
    <row r="108" spans="1:46" ht="15" customHeight="1" x14ac:dyDescent="0.25">
      <c r="A108">
        <f>A102+6*2*$B$5/39</f>
        <v>-1.3846153846153846</v>
      </c>
      <c r="N108">
        <f>NORMDIST($A$108,0,$B$7,FALSE())*(NORMDIST((C26-$A$108)/C18,0,1,TRUE())-NORMDIST((-C26-$A$108)/C18,0,1,TRUE()))</f>
        <v>4.026237967855098E-2</v>
      </c>
      <c r="O108">
        <f>NORMDIST($A$108,0,$B$7,FALSE())*(NORMDIST((C61-$A$108)/C18,0,1,TRUE())-NORMDIST((-C61-$A$108)/C18,0,1,TRUE()))</f>
        <v>0.12925314162832577</v>
      </c>
      <c r="P108">
        <f>NORMDIST($A$108,0,$B$7,FALSE())*(NORMDIST((D26-$A$108)/D18,0,1,TRUE())-NORMDIST((-D26-$A$108)/D18,0,1,TRUE()))</f>
        <v>7.9871330985888334E-2</v>
      </c>
      <c r="Q108">
        <f>NORMDIST($A$108,0,$B$7,FALSE())*(NORMDIST((D61-$A$108)/D18,0,1,TRUE())-NORMDIST((-D61-$A$108)/D18,0,1,TRUE()))</f>
        <v>0.16260735604378482</v>
      </c>
      <c r="R108">
        <f>NORMDIST($A$108,0,$B$7,FALSE())*(NORMDIST((E26-$A$108)/E18,0,1,TRUE())-NORMDIST((-E26-$A$108)/E18,0,1,TRUE()))</f>
        <v>9.2712009441734106E-2</v>
      </c>
      <c r="S108">
        <f>NORMDIST($A$108,0,$B$7,FALSE())*(NORMDIST((E61-$A$108)/E18,0,1,TRUE())-NORMDIST((-E61-$A$108)/E18,0,1,TRUE()))</f>
        <v>0.1668158919026512</v>
      </c>
      <c r="T108">
        <f>NORMDIST($A$108,0,$B$7,FALSE())*(NORMDIST((F26-$A$108)/F18,0,1,TRUE())-NORMDIST((-F26-$A$108)/F18,0,1,TRUE()))</f>
        <v>0.15003336995003247</v>
      </c>
      <c r="U108">
        <f>NORMDIST($A$108,0,$B$7,FALSE())*(NORMDIST((F61-$A$108)/F18,0,1,TRUE())-NORMDIST((-F61-$A$108)/F18,0,1,TRUE()))</f>
        <v>0.17267145492287322</v>
      </c>
      <c r="V108">
        <f>NORMDIST($A$108,0,$B$7,FALSE())*(NORMDIST((G26-$A$108)/G18,0,1,TRUE())-NORMDIST((-G26-$A$108)/G18,0,1,TRUE()))</f>
        <v>0.17285221449185173</v>
      </c>
      <c r="W108">
        <f>NORMDIST($A$108,0,$B$7,FALSE())*(NORMDIST((G61-$A$108)/G18,0,1,TRUE())-NORMDIST((-G61-$A$108)/G18,0,1,TRUE()))</f>
        <v>0.17285221449185173</v>
      </c>
      <c r="X108">
        <f>NORMDIST($A$108,0,$B$7,FALSE())*(NORMDIST((H26-$A$108)/H18,0,1,TRUE())-NORMDIST((-H26-$A$108)/H18,0,1,TRUE()))</f>
        <v>4.026237967855098E-2</v>
      </c>
      <c r="Y108">
        <f>NORMDIST($A$108,0,$B$7,FALSE())*(NORMDIST((H61-$A$108)/H18,0,1,TRUE())-NORMDIST((-H61-$A$108)/H18,0,1,TRUE()))</f>
        <v>0.12925314162832577</v>
      </c>
      <c r="Z108">
        <f>NORMDIST($A$108,0,$B$7,FALSE())*(NORMDIST((J26-$A$108)/J18,0,1,TRUE())-NORMDIST((-J26-$A$108)/J18,0,1,TRUE()))</f>
        <v>7.8592423359119118E-2</v>
      </c>
      <c r="AA108">
        <f>NORMDIST($A$108,0,$B$7,FALSE())*(NORMDIST((J61-$A$108)/J18,0,1,TRUE())-NORMDIST((-J61-$A$108)/J18,0,1,TRUE()))</f>
        <v>0.16207861154511066</v>
      </c>
      <c r="AB108">
        <f>NORMDIST($A$108,0,$B$7,FALSE())*(NORMDIST((K26-$A$108)/K18,0,1,TRUE())-NORMDIST((-K26-$A$108)/K18,0,1,TRUE()))</f>
        <v>0.11961440512690957</v>
      </c>
      <c r="AC108">
        <f>NORMDIST($A$108,0,$B$7,FALSE())*(NORMDIST((K61-$A$108)/K18,0,1,TRUE())-NORMDIST((-K61-$A$108)/K18,0,1,TRUE()))</f>
        <v>0.17125264330287729</v>
      </c>
      <c r="AD108">
        <f>NORMDIST($A$108,0,$B$7,FALSE())*(NORMDIST((L26-$A$108)/L18,0,1,TRUE())-NORMDIST((-L26-$A$108)/L18,0,1,TRUE()))</f>
        <v>0.15003336995003247</v>
      </c>
      <c r="AE108">
        <f>NORMDIST($A$108,0,$B$7,FALSE())*(NORMDIST((L61-$A$108)/L18,0,1,TRUE())-NORMDIST((-L61-$A$108)/L18,0,1,TRUE()))</f>
        <v>0.17267145492287322</v>
      </c>
      <c r="AF108">
        <f t="shared" ref="AF108:AK108" si="74">NORMDIST($A$108,0,$B$7,FALSE())*(NORMDIST((C216-$A$108)/C18,0,1,TRUE())-NORMDIST((-C216-$A$108)/C18,0,1,TRUE()))</f>
        <v>0.14862361273407249</v>
      </c>
      <c r="AG108">
        <f t="shared" si="74"/>
        <v>0.16747571707177142</v>
      </c>
      <c r="AH108">
        <f t="shared" si="74"/>
        <v>0.16937447224122515</v>
      </c>
      <c r="AI108">
        <f t="shared" si="74"/>
        <v>0.17267145492287322</v>
      </c>
      <c r="AJ108">
        <f t="shared" si="74"/>
        <v>0.17285221449185173</v>
      </c>
      <c r="AK108">
        <f t="shared" si="74"/>
        <v>0.14862361273407249</v>
      </c>
      <c r="AL108">
        <f>NORMDIST($A$108,0,$B$7,FALSE())*(NORMDIST((J216-$A$108)/J18,0,1,TRUE())-NORMDIST((-J216-$A$108)/J18,0,1,TRUE()))</f>
        <v>0.1672457641260067</v>
      </c>
      <c r="AM108">
        <f>NORMDIST($A$108,0,$B$7,FALSE())*(NORMDIST((K216-$A$108)/K18,0,1,TRUE())-NORMDIST((-K216-$A$108)/K18,0,1,TRUE()))</f>
        <v>0.17165657356579281</v>
      </c>
      <c r="AN108">
        <f>NORMDIST($A$108,0,$B$7,FALSE())*(NORMDIST((L216-$A$108)/L18,0,1,TRUE())-NORMDIST((-L216-$A$108)/L18,0,1,TRUE()))</f>
        <v>0.17267145492287322</v>
      </c>
      <c r="AO108">
        <f t="shared" ref="AO108:AT108" si="75">NORMDIST($A$108,0,$B$7,FALSE())*(NORMDIST(($B$5-$A$108)/C18,0,1,TRUE())-NORMDIST((-$B$5-$A$108)/C18,0,1,TRUE()))</f>
        <v>0.15397595870448275</v>
      </c>
      <c r="AP108">
        <f t="shared" si="75"/>
        <v>0.16747571707177142</v>
      </c>
      <c r="AQ108">
        <f t="shared" si="75"/>
        <v>0.16937447224122515</v>
      </c>
      <c r="AR108">
        <f t="shared" si="75"/>
        <v>0.17267145492287322</v>
      </c>
      <c r="AS108">
        <f t="shared" si="75"/>
        <v>0.17285221449185173</v>
      </c>
      <c r="AT108">
        <f t="shared" si="75"/>
        <v>0.15397595870448275</v>
      </c>
    </row>
    <row r="109" spans="1:46" ht="15" customHeight="1" x14ac:dyDescent="0.25">
      <c r="A109">
        <f>A102+7*2*$B$5/39</f>
        <v>-1.2820512820512819</v>
      </c>
      <c r="N109">
        <f>NORMDIST($A$109,0,$B$7,FALSE())*(NORMDIST((C26-$A$109)/C18,0,1,TRUE())-NORMDIST((-C26-$A$109)/C18,0,1,TRUE()))</f>
        <v>5.6606643793472119E-2</v>
      </c>
      <c r="O109">
        <f>NORMDIST($A$109,0,$B$7,FALSE())*(NORMDIST((C61-$A$109)/C18,0,1,TRUE())-NORMDIST((-C61-$A$109)/C18,0,1,TRUE()))</f>
        <v>0.1525148525747452</v>
      </c>
      <c r="P109">
        <f>NORMDIST($A$109,0,$B$7,FALSE())*(NORMDIST((D26-$A$109)/D18,0,1,TRUE())-NORMDIST((-D26-$A$109)/D18,0,1,TRUE()))</f>
        <v>0.11041183084567827</v>
      </c>
      <c r="Q109">
        <f>NORMDIST($A$109,0,$B$7,FALSE())*(NORMDIST((D61-$A$109)/D18,0,1,TRUE())-NORMDIST((-D61-$A$109)/D18,0,1,TRUE()))</f>
        <v>0.18284898191068547</v>
      </c>
      <c r="R109">
        <f>NORMDIST($A$109,0,$B$7,FALSE())*(NORMDIST((E26-$A$109)/E18,0,1,TRUE())-NORMDIST((-E26-$A$109)/E18,0,1,TRUE()))</f>
        <v>0.12591690395386559</v>
      </c>
      <c r="S109">
        <f>NORMDIST($A$109,0,$B$7,FALSE())*(NORMDIST((E61-$A$109)/E18,0,1,TRUE())-NORMDIST((-E61-$A$109)/E18,0,1,TRUE()))</f>
        <v>0.18568457099266222</v>
      </c>
      <c r="T109">
        <f>NORMDIST($A$109,0,$B$7,FALSE())*(NORMDIST((F26-$A$109)/F18,0,1,TRUE())-NORMDIST((-F26-$A$109)/F18,0,1,TRUE()))</f>
        <v>0.17889610409215428</v>
      </c>
      <c r="U109">
        <f>NORMDIST($A$109,0,$B$7,FALSE())*(NORMDIST((F61-$A$109)/F18,0,1,TRUE())-NORMDIST((-F61-$A$109)/F18,0,1,TRUE()))</f>
        <v>0.18859375704489018</v>
      </c>
      <c r="V109">
        <f>NORMDIST($A$109,0,$B$7,FALSE())*(NORMDIST((G26-$A$109)/G18,0,1,TRUE())-NORMDIST((-G26-$A$109)/G18,0,1,TRUE()))</f>
        <v>0.18862497479824472</v>
      </c>
      <c r="W109">
        <f>NORMDIST($A$109,0,$B$7,FALSE())*(NORMDIST((G61-$A$109)/G18,0,1,TRUE())-NORMDIST((-G61-$A$109)/G18,0,1,TRUE()))</f>
        <v>0.18862497479824472</v>
      </c>
      <c r="X109">
        <f>NORMDIST($A$109,0,$B$7,FALSE())*(NORMDIST((H26-$A$109)/H18,0,1,TRUE())-NORMDIST((-H26-$A$109)/H18,0,1,TRUE()))</f>
        <v>5.6606643793472119E-2</v>
      </c>
      <c r="Y109">
        <f>NORMDIST($A$109,0,$B$7,FALSE())*(NORMDIST((H61-$A$109)/H18,0,1,TRUE())-NORMDIST((-H61-$A$109)/H18,0,1,TRUE()))</f>
        <v>0.1525148525747452</v>
      </c>
      <c r="Z109">
        <f>NORMDIST($A$109,0,$B$7,FALSE())*(NORMDIST((J26-$A$109)/J18,0,1,TRUE())-NORMDIST((-J26-$A$109)/J18,0,1,TRUE()))</f>
        <v>0.10880866125167095</v>
      </c>
      <c r="AA109">
        <f>NORMDIST($A$109,0,$B$7,FALSE())*(NORMDIST((J61-$A$109)/J18,0,1,TRUE())-NORMDIST((-J61-$A$109)/J18,0,1,TRUE()))</f>
        <v>0.18246651905067993</v>
      </c>
      <c r="AB109">
        <f>NORMDIST($A$109,0,$B$7,FALSE())*(NORMDIST((K26-$A$109)/K18,0,1,TRUE())-NORMDIST((-K26-$A$109)/K18,0,1,TRUE()))</f>
        <v>0.15449548210428796</v>
      </c>
      <c r="AC109">
        <f>NORMDIST($A$109,0,$B$7,FALSE())*(NORMDIST((K61-$A$109)/K18,0,1,TRUE())-NORMDIST((-K61-$A$109)/K18,0,1,TRUE()))</f>
        <v>0.18808902997847154</v>
      </c>
      <c r="AD109">
        <f>NORMDIST($A$109,0,$B$7,FALSE())*(NORMDIST((L26-$A$109)/L18,0,1,TRUE())-NORMDIST((-L26-$A$109)/L18,0,1,TRUE()))</f>
        <v>0.17889610409215428</v>
      </c>
      <c r="AE109">
        <f>NORMDIST($A$109,0,$B$7,FALSE())*(NORMDIST((L61-$A$109)/L18,0,1,TRUE())-NORMDIST((-L61-$A$109)/L18,0,1,TRUE()))</f>
        <v>0.18859375704489018</v>
      </c>
      <c r="AF109">
        <f t="shared" ref="AF109:AK109" si="76">NORMDIST($A$109,0,$B$7,FALSE())*(NORMDIST((C216-$A$109)/C18,0,1,TRUE())-NORMDIST((-C216-$A$109)/C18,0,1,TRUE()))</f>
        <v>0.16986604578585893</v>
      </c>
      <c r="AG109">
        <f t="shared" si="76"/>
        <v>0.1858347379225313</v>
      </c>
      <c r="AH109">
        <f t="shared" si="76"/>
        <v>0.18704959352883854</v>
      </c>
      <c r="AI109">
        <f t="shared" si="76"/>
        <v>0.18859375704489018</v>
      </c>
      <c r="AJ109">
        <f t="shared" si="76"/>
        <v>0.18862497479824472</v>
      </c>
      <c r="AK109">
        <f t="shared" si="76"/>
        <v>0.16986604578585893</v>
      </c>
      <c r="AL109">
        <f>NORMDIST($A$109,0,$B$7,FALSE())*(NORMDIST((J216-$A$109)/J18,0,1,TRUE())-NORMDIST((-J216-$A$109)/J18,0,1,TRUE()))</f>
        <v>0.18567749841485531</v>
      </c>
      <c r="AM109">
        <f>NORMDIST($A$109,0,$B$7,FALSE())*(NORMDIST((K216-$A$109)/K18,0,1,TRUE())-NORMDIST((-K216-$A$109)/K18,0,1,TRUE()))</f>
        <v>0.18824004045131579</v>
      </c>
      <c r="AN109">
        <f>NORMDIST($A$109,0,$B$7,FALSE())*(NORMDIST((L216-$A$109)/L18,0,1,TRUE())-NORMDIST((-L216-$A$109)/L18,0,1,TRUE()))</f>
        <v>0.18859375704489018</v>
      </c>
      <c r="AO109">
        <f t="shared" ref="AO109:AT109" si="77">NORMDIST($A$109,0,$B$7,FALSE())*(NORMDIST(($B$5-$A$109)/C18,0,1,TRUE())-NORMDIST((-$B$5-$A$109)/C18,0,1,TRUE()))</f>
        <v>0.17438081569013672</v>
      </c>
      <c r="AP109">
        <f t="shared" si="77"/>
        <v>0.1858347379225313</v>
      </c>
      <c r="AQ109">
        <f t="shared" si="77"/>
        <v>0.18704959352883854</v>
      </c>
      <c r="AR109">
        <f t="shared" si="77"/>
        <v>0.18859375704489018</v>
      </c>
      <c r="AS109">
        <f t="shared" si="77"/>
        <v>0.18862497479824472</v>
      </c>
      <c r="AT109">
        <f t="shared" si="77"/>
        <v>0.17438081569013672</v>
      </c>
    </row>
    <row r="110" spans="1:46" ht="15" customHeight="1" x14ac:dyDescent="0.25">
      <c r="A110">
        <f>A102+8*2*$B$5/39</f>
        <v>-1.1794871794871795</v>
      </c>
      <c r="N110">
        <f>NORMDIST($A$110,0,$B$7,FALSE())*(NORMDIST((C26-$A$110)/C18,0,1,TRUE())-NORMDIST((-C26-$A$110)/C18,0,1,TRUE()))</f>
        <v>7.6645035237730336E-2</v>
      </c>
      <c r="O110">
        <f>NORMDIST($A$110,0,$B$7,FALSE())*(NORMDIST((C61-$A$110)/C18,0,1,TRUE())-NORMDIST((-C61-$A$110)/C18,0,1,TRUE()))</f>
        <v>0.17571695218467659</v>
      </c>
      <c r="P110">
        <f>NORMDIST($A$110,0,$B$7,FALSE())*(NORMDIST((D26-$A$110)/D18,0,1,TRUE())-NORMDIST((-D26-$A$110)/D18,0,1,TRUE()))</f>
        <v>0.14326352995540559</v>
      </c>
      <c r="Q110">
        <f>NORMDIST($A$110,0,$B$7,FALSE())*(NORMDIST((D61-$A$110)/D18,0,1,TRUE())-NORMDIST((-D61-$A$110)/D18,0,1,TRUE()))</f>
        <v>0.20148717207128328</v>
      </c>
      <c r="R110">
        <f>NORMDIST($A$110,0,$B$7,FALSE())*(NORMDIST((E26-$A$110)/E18,0,1,TRUE())-NORMDIST((-E26-$A$110)/E18,0,1,TRUE()))</f>
        <v>0.15965032237961366</v>
      </c>
      <c r="S110">
        <f>NORMDIST($A$110,0,$B$7,FALSE())*(NORMDIST((E61-$A$110)/E18,0,1,TRUE())-NORMDIST((-E61-$A$110)/E18,0,1,TRUE()))</f>
        <v>0.2031774236651184</v>
      </c>
      <c r="T110">
        <f>NORMDIST($A$110,0,$B$7,FALSE())*(NORMDIST((F26-$A$110)/F18,0,1,TRUE())-NORMDIST((-F26-$A$110)/F18,0,1,TRUE()))</f>
        <v>0.20117249541059232</v>
      </c>
      <c r="U110">
        <f>NORMDIST($A$110,0,$B$7,FALSE())*(NORMDIST((F61-$A$110)/F18,0,1,TRUE())-NORMDIST((-F61-$A$110)/F18,0,1,TRUE()))</f>
        <v>0.20445480389019133</v>
      </c>
      <c r="V110">
        <f>NORMDIST($A$110,0,$B$7,FALSE())*(NORMDIST((G26-$A$110)/G18,0,1,TRUE())-NORMDIST((-G26-$A$110)/G18,0,1,TRUE()))</f>
        <v>0.20445898095240983</v>
      </c>
      <c r="W110">
        <f>NORMDIST($A$110,0,$B$7,FALSE())*(NORMDIST((G61-$A$110)/G18,0,1,TRUE())-NORMDIST((-G61-$A$110)/G18,0,1,TRUE()))</f>
        <v>0.20445898095240983</v>
      </c>
      <c r="X110">
        <f>NORMDIST($A$110,0,$B$7,FALSE())*(NORMDIST((H26-$A$110)/H18,0,1,TRUE())-NORMDIST((-H26-$A$110)/H18,0,1,TRUE()))</f>
        <v>7.6645035237730336E-2</v>
      </c>
      <c r="Y110">
        <f>NORMDIST($A$110,0,$B$7,FALSE())*(NORMDIST((H61-$A$110)/H18,0,1,TRUE())-NORMDIST((-H61-$A$110)/H18,0,1,TRUE()))</f>
        <v>0.17571695218467659</v>
      </c>
      <c r="Z110">
        <f>NORMDIST($A$110,0,$B$7,FALSE())*(NORMDIST((J26-$A$110)/J18,0,1,TRUE())-NORMDIST((-J26-$A$110)/J18,0,1,TRUE()))</f>
        <v>0.1414864105234179</v>
      </c>
      <c r="AA110">
        <f>NORMDIST($A$110,0,$B$7,FALSE())*(NORMDIST((J61-$A$110)/J18,0,1,TRUE())-NORMDIST((-J61-$A$110)/J18,0,1,TRUE()))</f>
        <v>0.20124039355426196</v>
      </c>
      <c r="AB110">
        <f>NORMDIST($A$110,0,$B$7,FALSE())*(NORMDIST((K26-$A$110)/K18,0,1,TRUE())-NORMDIST((-K26-$A$110)/K18,0,1,TRUE()))</f>
        <v>0.18542885141136961</v>
      </c>
      <c r="AC110">
        <f>NORMDIST($A$110,0,$B$7,FALSE())*(NORMDIST((K61-$A$110)/K18,0,1,TRUE())-NORMDIST((-K61-$A$110)/K18,0,1,TRUE()))</f>
        <v>0.20430623020328978</v>
      </c>
      <c r="AD110">
        <f>NORMDIST($A$110,0,$B$7,FALSE())*(NORMDIST((L26-$A$110)/L18,0,1,TRUE())-NORMDIST((-L26-$A$110)/L18,0,1,TRUE()))</f>
        <v>0.20117249541059232</v>
      </c>
      <c r="AE110">
        <f>NORMDIST($A$110,0,$B$7,FALSE())*(NORMDIST((L61-$A$110)/L18,0,1,TRUE())-NORMDIST((-L61-$A$110)/L18,0,1,TRUE()))</f>
        <v>0.20445480389019133</v>
      </c>
      <c r="AF110">
        <f t="shared" ref="AF110:AK110" si="78">NORMDIST($A$110,0,$B$7,FALSE())*(NORMDIST((C216-$A$110)/C18,0,1,TRUE())-NORMDIST((-C216-$A$110)/C18,0,1,TRUE()))</f>
        <v>0.19052786522895043</v>
      </c>
      <c r="AG110">
        <f t="shared" si="78"/>
        <v>0.2031397918864789</v>
      </c>
      <c r="AH110">
        <f t="shared" si="78"/>
        <v>0.20382135335617127</v>
      </c>
      <c r="AI110">
        <f t="shared" si="78"/>
        <v>0.20445480389019133</v>
      </c>
      <c r="AJ110">
        <f t="shared" si="78"/>
        <v>0.20445898095240983</v>
      </c>
      <c r="AK110">
        <f t="shared" si="78"/>
        <v>0.19052786522895043</v>
      </c>
      <c r="AL110">
        <f>NORMDIST($A$110,0,$B$7,FALSE())*(NORMDIST((J216-$A$110)/J18,0,1,TRUE())-NORMDIST((-J216-$A$110)/J18,0,1,TRUE()))</f>
        <v>0.20304471197098162</v>
      </c>
      <c r="AM110">
        <f>NORMDIST($A$110,0,$B$7,FALSE())*(NORMDIST((K216-$A$110)/K18,0,1,TRUE())-NORMDIST((-K216-$A$110)/K18,0,1,TRUE()))</f>
        <v>0.20435362849298352</v>
      </c>
      <c r="AN110">
        <f>NORMDIST($A$110,0,$B$7,FALSE())*(NORMDIST((L216-$A$110)/L18,0,1,TRUE())-NORMDIST((-L216-$A$110)/L18,0,1,TRUE()))</f>
        <v>0.20445480389019133</v>
      </c>
      <c r="AO110">
        <f t="shared" ref="AO110:AT110" si="79">NORMDIST($A$110,0,$B$7,FALSE())*(NORMDIST(($B$5-$A$110)/C18,0,1,TRUE())-NORMDIST((-$B$5-$A$110)/C18,0,1,TRUE()))</f>
        <v>0.19415505665009383</v>
      </c>
      <c r="AP110">
        <f t="shared" si="79"/>
        <v>0.2031397918864789</v>
      </c>
      <c r="AQ110">
        <f t="shared" si="79"/>
        <v>0.20382135335617127</v>
      </c>
      <c r="AR110">
        <f t="shared" si="79"/>
        <v>0.20445480389019133</v>
      </c>
      <c r="AS110">
        <f t="shared" si="79"/>
        <v>0.20445898095240983</v>
      </c>
      <c r="AT110">
        <f t="shared" si="79"/>
        <v>0.19415505665009383</v>
      </c>
    </row>
    <row r="111" spans="1:46" ht="15" customHeight="1" x14ac:dyDescent="0.25">
      <c r="A111">
        <f>A102+9*2*$B$5/39</f>
        <v>-1.0769230769230769</v>
      </c>
      <c r="N111">
        <f>NORMDIST($A$111,0,$B$7,FALSE())*(NORMDIST((C26-$A$111)/C18,0,1,TRUE())-NORMDIST((-C26-$A$111)/C18,0,1,TRUE()))</f>
        <v>0.1000895122913794</v>
      </c>
      <c r="O111">
        <f>NORMDIST($A$111,0,$B$7,FALSE())*(NORMDIST((C61-$A$111)/C18,0,1,TRUE())-NORMDIST((-C61-$A$111)/C18,0,1,TRUE()))</f>
        <v>0.1981752506511677</v>
      </c>
      <c r="P111">
        <f>NORMDIST($A$111,0,$B$7,FALSE())*(NORMDIST((D26-$A$111)/D18,0,1,TRUE())-NORMDIST((-D26-$A$111)/D18,0,1,TRUE()))</f>
        <v>0.17583795818623699</v>
      </c>
      <c r="Q111">
        <f>NORMDIST($A$111,0,$B$7,FALSE())*(NORMDIST((D61-$A$111)/D18,0,1,TRUE())-NORMDIST((-D61-$A$111)/D18,0,1,TRUE()))</f>
        <v>0.21874555459044856</v>
      </c>
      <c r="R111">
        <f>NORMDIST($A$111,0,$B$7,FALSE())*(NORMDIST((E26-$A$111)/E18,0,1,TRUE())-NORMDIST((-E26-$A$111)/E18,0,1,TRUE()))</f>
        <v>0.19107719427764291</v>
      </c>
      <c r="S111">
        <f>NORMDIST($A$111,0,$B$7,FALSE())*(NORMDIST((E61-$A$111)/E18,0,1,TRUE())-NORMDIST((-E61-$A$111)/E18,0,1,TRUE()))</f>
        <v>0.21963966626477727</v>
      </c>
      <c r="T111">
        <f>NORMDIST($A$111,0,$B$7,FALSE())*(NORMDIST((F26-$A$111)/F18,0,1,TRUE())-NORMDIST((-F26-$A$111)/F18,0,1,TRUE()))</f>
        <v>0.21926652095476451</v>
      </c>
      <c r="U111">
        <f>NORMDIST($A$111,0,$B$7,FALSE())*(NORMDIST((F61-$A$111)/F18,0,1,TRUE())-NORMDIST((-F61-$A$111)/F18,0,1,TRUE()))</f>
        <v>0.22013803585764077</v>
      </c>
      <c r="V111">
        <f>NORMDIST($A$111,0,$B$7,FALSE())*(NORMDIST((G26-$A$111)/G18,0,1,TRUE())-NORMDIST((-G26-$A$111)/G18,0,1,TRUE()))</f>
        <v>0.22013846773407902</v>
      </c>
      <c r="W111">
        <f>NORMDIST($A$111,0,$B$7,FALSE())*(NORMDIST((G61-$A$111)/G18,0,1,TRUE())-NORMDIST((-G61-$A$111)/G18,0,1,TRUE()))</f>
        <v>0.22013846773407902</v>
      </c>
      <c r="X111">
        <f>NORMDIST($A$111,0,$B$7,FALSE())*(NORMDIST((H26-$A$111)/H18,0,1,TRUE())-NORMDIST((-H26-$A$111)/H18,0,1,TRUE()))</f>
        <v>0.1000895122913794</v>
      </c>
      <c r="Y111">
        <f>NORMDIST($A$111,0,$B$7,FALSE())*(NORMDIST((H61-$A$111)/H18,0,1,TRUE())-NORMDIST((-H61-$A$111)/H18,0,1,TRUE()))</f>
        <v>0.1981752506511677</v>
      </c>
      <c r="Z111">
        <f>NORMDIST($A$111,0,$B$7,FALSE())*(NORMDIST((J26-$A$111)/J18,0,1,TRUE())-NORMDIST((-J26-$A$111)/J18,0,1,TRUE()))</f>
        <v>0.17408743536101443</v>
      </c>
      <c r="AA111">
        <f>NORMDIST($A$111,0,$B$7,FALSE())*(NORMDIST((J61-$A$111)/J18,0,1,TRUE())-NORMDIST((-J61-$A$111)/J18,0,1,TRUE()))</f>
        <v>0.21860319816906759</v>
      </c>
      <c r="AB111">
        <f>NORMDIST($A$111,0,$B$7,FALSE())*(NORMDIST((K26-$A$111)/K18,0,1,TRUE())-NORMDIST((-K26-$A$111)/K18,0,1,TRUE()))</f>
        <v>0.21097863893369029</v>
      </c>
      <c r="AC111">
        <f>NORMDIST($A$111,0,$B$7,FALSE())*(NORMDIST((K61-$A$111)/K18,0,1,TRUE())-NORMDIST((-K61-$A$111)/K18,0,1,TRUE()))</f>
        <v>0.22010151692080276</v>
      </c>
      <c r="AD111">
        <f>NORMDIST($A$111,0,$B$7,FALSE())*(NORMDIST((L26-$A$111)/L18,0,1,TRUE())-NORMDIST((-L26-$A$111)/L18,0,1,TRUE()))</f>
        <v>0.21926652095476451</v>
      </c>
      <c r="AE111">
        <f>NORMDIST($A$111,0,$B$7,FALSE())*(NORMDIST((L61-$A$111)/L18,0,1,TRUE())-NORMDIST((-L61-$A$111)/L18,0,1,TRUE()))</f>
        <v>0.22013803585764077</v>
      </c>
      <c r="AF111">
        <f t="shared" ref="AF111:AK111" si="80">NORMDIST($A$111,0,$B$7,FALSE())*(NORMDIST((C216-$A$111)/C18,0,1,TRUE())-NORMDIST((-C216-$A$111)/C18,0,1,TRUE()))</f>
        <v>0.21022274282303888</v>
      </c>
      <c r="AG111">
        <f t="shared" si="80"/>
        <v>0.21957109201434707</v>
      </c>
      <c r="AH111">
        <f t="shared" si="80"/>
        <v>0.21990825873930173</v>
      </c>
      <c r="AI111">
        <f t="shared" si="80"/>
        <v>0.22013803585764077</v>
      </c>
      <c r="AJ111">
        <f t="shared" si="80"/>
        <v>0.22013846773407902</v>
      </c>
      <c r="AK111">
        <f t="shared" si="80"/>
        <v>0.21022274282303888</v>
      </c>
      <c r="AL111">
        <f>NORMDIST($A$111,0,$B$7,FALSE())*(NORMDIST((J216-$A$111)/J18,0,1,TRUE())-NORMDIST((-J216-$A$111)/J18,0,1,TRUE()))</f>
        <v>0.21952000168076713</v>
      </c>
      <c r="AM111">
        <f>NORMDIST($A$111,0,$B$7,FALSE())*(NORMDIST((K216-$A$111)/K18,0,1,TRUE())-NORMDIST((-K216-$A$111)/K18,0,1,TRUE()))</f>
        <v>0.22011400722764457</v>
      </c>
      <c r="AN111">
        <f>NORMDIST($A$111,0,$B$7,FALSE())*(NORMDIST((L216-$A$111)/L18,0,1,TRUE())-NORMDIST((-L216-$A$111)/L18,0,1,TRUE()))</f>
        <v>0.22013803585764077</v>
      </c>
      <c r="AO111">
        <f t="shared" ref="AO111:AT111" si="81">NORMDIST($A$111,0,$B$7,FALSE())*(NORMDIST(($B$5-$A$111)/C18,0,1,TRUE())-NORMDIST((-$B$5-$A$111)/C18,0,1,TRUE()))</f>
        <v>0.2129982907280687</v>
      </c>
      <c r="AP111">
        <f t="shared" si="81"/>
        <v>0.21957109201434707</v>
      </c>
      <c r="AQ111">
        <f t="shared" si="81"/>
        <v>0.21990825873930173</v>
      </c>
      <c r="AR111">
        <f t="shared" si="81"/>
        <v>0.22013803585764077</v>
      </c>
      <c r="AS111">
        <f t="shared" si="81"/>
        <v>0.22013846773407902</v>
      </c>
      <c r="AT111">
        <f t="shared" si="81"/>
        <v>0.2129982907280687</v>
      </c>
    </row>
    <row r="112" spans="1:46" ht="15" customHeight="1" x14ac:dyDescent="0.25">
      <c r="A112">
        <f>A102+10*2*$B$5/39</f>
        <v>-0.97435897435897445</v>
      </c>
      <c r="N112">
        <f>NORMDIST($A$112,0,$B$7,FALSE())*(NORMDIST((C26-$A$112)/C18,0,1,TRUE())-NORMDIST((-C26-$A$112)/C18,0,1,TRUE()))</f>
        <v>0.12627069986197581</v>
      </c>
      <c r="O112">
        <f>NORMDIST($A$112,0,$B$7,FALSE())*(NORMDIST((C61-$A$112)/C18,0,1,TRUE())-NORMDIST((-C61-$A$112)/C18,0,1,TRUE()))</f>
        <v>0.21933544468900926</v>
      </c>
      <c r="P112">
        <f>NORMDIST($A$112,0,$B$7,FALSE())*(NORMDIST((D26-$A$112)/D18,0,1,TRUE())-NORMDIST((-D26-$A$112)/D18,0,1,TRUE()))</f>
        <v>0.20589053168460589</v>
      </c>
      <c r="Q112">
        <f>NORMDIST($A$112,0,$B$7,FALSE())*(NORMDIST((D61-$A$112)/D18,0,1,TRUE())-NORMDIST((-D61-$A$112)/D18,0,1,TRUE()))</f>
        <v>0.23483969779775504</v>
      </c>
      <c r="R112">
        <f>NORMDIST($A$112,0,$B$7,FALSE())*(NORMDIST((E26-$A$112)/E18,0,1,TRUE())-NORMDIST((-E26-$A$112)/E18,0,1,TRUE()))</f>
        <v>0.21840948473570285</v>
      </c>
      <c r="S112">
        <f>NORMDIST($A$112,0,$B$7,FALSE())*(NORMDIST((E61-$A$112)/E18,0,1,TRUE())-NORMDIST((-E61-$A$112)/E18,0,1,TRUE()))</f>
        <v>0.23526049446284722</v>
      </c>
      <c r="T112">
        <f>NORMDIST($A$112,0,$B$7,FALSE())*(NORMDIST((F26-$A$112)/F18,0,1,TRUE())-NORMDIST((-F26-$A$112)/F18,0,1,TRUE()))</f>
        <v>0.2352530385788654</v>
      </c>
      <c r="U112">
        <f>NORMDIST($A$112,0,$B$7,FALSE())*(NORMDIST((F61-$A$112)/F18,0,1,TRUE())-NORMDIST((-F61-$A$112)/F18,0,1,TRUE()))</f>
        <v>0.2354335620026031</v>
      </c>
      <c r="V112">
        <f>NORMDIST($A$112,0,$B$7,FALSE())*(NORMDIST((G26-$A$112)/G18,0,1,TRUE())-NORMDIST((-G26-$A$112)/G18,0,1,TRUE()))</f>
        <v>0.2354335964368407</v>
      </c>
      <c r="W112">
        <f>NORMDIST($A$112,0,$B$7,FALSE())*(NORMDIST((G61-$A$112)/G18,0,1,TRUE())-NORMDIST((-G61-$A$112)/G18,0,1,TRUE()))</f>
        <v>0.2354335964368407</v>
      </c>
      <c r="X112">
        <f>NORMDIST($A$112,0,$B$7,FALSE())*(NORMDIST((H26-$A$112)/H18,0,1,TRUE())-NORMDIST((-H26-$A$112)/H18,0,1,TRUE()))</f>
        <v>0.12627069986197581</v>
      </c>
      <c r="Y112">
        <f>NORMDIST($A$112,0,$B$7,FALSE())*(NORMDIST((H61-$A$112)/H18,0,1,TRUE())-NORMDIST((-H61-$A$112)/H18,0,1,TRUE()))</f>
        <v>0.21933544468900926</v>
      </c>
      <c r="Z112">
        <f>NORMDIST($A$112,0,$B$7,FALSE())*(NORMDIST((J26-$A$112)/J18,0,1,TRUE())-NORMDIST((-J26-$A$112)/J18,0,1,TRUE()))</f>
        <v>0.20435315785018501</v>
      </c>
      <c r="AA112">
        <f>NORMDIST($A$112,0,$B$7,FALSE())*(NORMDIST((J61-$A$112)/J18,0,1,TRUE())-NORMDIST((-J61-$A$112)/J18,0,1,TRUE()))</f>
        <v>0.23476615757935207</v>
      </c>
      <c r="AB112">
        <f>NORMDIST($A$112,0,$B$7,FALSE())*(NORMDIST((K26-$A$112)/K18,0,1,TRUE())-NORMDIST((-K26-$A$112)/K18,0,1,TRUE()))</f>
        <v>0.23164922312565867</v>
      </c>
      <c r="AC112">
        <f>NORMDIST($A$112,0,$B$7,FALSE())*(NORMDIST((K61-$A$112)/K18,0,1,TRUE())-NORMDIST((-K61-$A$112)/K18,0,1,TRUE()))</f>
        <v>0.23542602320338984</v>
      </c>
      <c r="AD112">
        <f>NORMDIST($A$112,0,$B$7,FALSE())*(NORMDIST((L26-$A$112)/L18,0,1,TRUE())-NORMDIST((-L26-$A$112)/L18,0,1,TRUE()))</f>
        <v>0.2352530385788654</v>
      </c>
      <c r="AE112">
        <f>NORMDIST($A$112,0,$B$7,FALSE())*(NORMDIST((L61-$A$112)/L18,0,1,TRUE())-NORMDIST((-L61-$A$112)/L18,0,1,TRUE()))</f>
        <v>0.2354335620026031</v>
      </c>
      <c r="AF112">
        <f t="shared" ref="AF112:AK112" si="82">NORMDIST($A$112,0,$B$7,FALSE())*(NORMDIST((C216-$A$112)/C18,0,1,TRUE())-NORMDIST((-C216-$A$112)/C18,0,1,TRUE()))</f>
        <v>0.22867385119312181</v>
      </c>
      <c r="AG112">
        <f t="shared" si="82"/>
        <v>0.23521186968169261</v>
      </c>
      <c r="AH112">
        <f t="shared" si="82"/>
        <v>0.23535955592679614</v>
      </c>
      <c r="AI112">
        <f t="shared" si="82"/>
        <v>0.2354335620026031</v>
      </c>
      <c r="AJ112">
        <f t="shared" si="82"/>
        <v>0.2354335964368407</v>
      </c>
      <c r="AK112">
        <f t="shared" si="82"/>
        <v>0.22867385119312181</v>
      </c>
      <c r="AL112">
        <f>NORMDIST($A$112,0,$B$7,FALSE())*(NORMDIST((J216-$A$112)/J18,0,1,TRUE())-NORMDIST((-J216-$A$112)/J18,0,1,TRUE()))</f>
        <v>0.23518739261735194</v>
      </c>
      <c r="AM112">
        <f>NORMDIST($A$112,0,$B$7,FALSE())*(NORMDIST((K216-$A$112)/K18,0,1,TRUE())-NORMDIST((-K216-$A$112)/K18,0,1,TRUE()))</f>
        <v>0.23542878656849417</v>
      </c>
      <c r="AN112">
        <f>NORMDIST($A$112,0,$B$7,FALSE())*(NORMDIST((L216-$A$112)/L18,0,1,TRUE())-NORMDIST((-L216-$A$112)/L18,0,1,TRUE()))</f>
        <v>0.2354335620026031</v>
      </c>
      <c r="AO112">
        <f t="shared" ref="AO112:AT112" si="83">NORMDIST($A$112,0,$B$7,FALSE())*(NORMDIST(($B$5-$A$112)/C18,0,1,TRUE())-NORMDIST((-$B$5-$A$112)/C18,0,1,TRUE()))</f>
        <v>0.23069673250401815</v>
      </c>
      <c r="AP112">
        <f t="shared" si="83"/>
        <v>0.23521186968169261</v>
      </c>
      <c r="AQ112">
        <f t="shared" si="83"/>
        <v>0.23535955592679614</v>
      </c>
      <c r="AR112">
        <f t="shared" si="83"/>
        <v>0.2354335620026031</v>
      </c>
      <c r="AS112">
        <f t="shared" si="83"/>
        <v>0.2354335964368407</v>
      </c>
      <c r="AT112">
        <f t="shared" si="83"/>
        <v>0.23069673250401815</v>
      </c>
    </row>
    <row r="113" spans="1:46" ht="15" customHeight="1" x14ac:dyDescent="0.25">
      <c r="A113">
        <f>A102+11*2*$B$5/39</f>
        <v>-0.87179487179487181</v>
      </c>
      <c r="N113">
        <f>NORMDIST($A$113,0,$B$7,FALSE())*(NORMDIST((C26-$A$113)/C18,0,1,TRUE())-NORMDIST((-C26-$A$113)/C18,0,1,TRUE()))</f>
        <v>0.15418127203672655</v>
      </c>
      <c r="O113">
        <f>NORMDIST($A$113,0,$B$7,FALSE())*(NORMDIST((C61-$A$113)/C18,0,1,TRUE())-NORMDIST((-C61-$A$113)/C18,0,1,TRUE()))</f>
        <v>0.23879685817679791</v>
      </c>
      <c r="P113">
        <f>NORMDIST($A$113,0,$B$7,FALSE())*(NORMDIST((D26-$A$113)/D18,0,1,TRUE())-NORMDIST((-D26-$A$113)/D18,0,1,TRUE()))</f>
        <v>0.23202070503020975</v>
      </c>
      <c r="Q113">
        <f>NORMDIST($A$113,0,$B$7,FALSE())*(NORMDIST((D61-$A$113)/D18,0,1,TRUE())-NORMDIST((-D61-$A$113)/D18,0,1,TRUE()))</f>
        <v>0.2498756774228986</v>
      </c>
      <c r="R113">
        <f>NORMDIST($A$113,0,$B$7,FALSE())*(NORMDIST((E26-$A$113)/E18,0,1,TRUE())-NORMDIST((-E26-$A$113)/E18,0,1,TRUE()))</f>
        <v>0.24113286836652387</v>
      </c>
      <c r="S113">
        <f>NORMDIST($A$113,0,$B$7,FALSE())*(NORMDIST((E61-$A$113)/E18,0,1,TRUE())-NORMDIST((-E61-$A$113)/E18,0,1,TRUE()))</f>
        <v>0.25005225963770739</v>
      </c>
      <c r="T113">
        <f>NORMDIST($A$113,0,$B$7,FALSE())*(NORMDIST((F26-$A$113)/F18,0,1,TRUE())-NORMDIST((-F26-$A$113)/F18,0,1,TRUE()))</f>
        <v>0.25007670530357407</v>
      </c>
      <c r="U113">
        <f>NORMDIST($A$113,0,$B$7,FALSE())*(NORMDIST((F61-$A$113)/F18,0,1,TRUE())-NORMDIST((-F61-$A$113)/F18,0,1,TRUE()))</f>
        <v>0.25010575267800078</v>
      </c>
      <c r="V113">
        <f>NORMDIST($A$113,0,$B$7,FALSE())*(NORMDIST((G26-$A$113)/G18,0,1,TRUE())-NORMDIST((-G26-$A$113)/G18,0,1,TRUE()))</f>
        <v>0.25010575479189689</v>
      </c>
      <c r="W113">
        <f>NORMDIST($A$113,0,$B$7,FALSE())*(NORMDIST((G61-$A$113)/G18,0,1,TRUE())-NORMDIST((-G61-$A$113)/G18,0,1,TRUE()))</f>
        <v>0.25010575479189689</v>
      </c>
      <c r="X113">
        <f>NORMDIST($A$113,0,$B$7,FALSE())*(NORMDIST((H26-$A$113)/H18,0,1,TRUE())-NORMDIST((-H26-$A$113)/H18,0,1,TRUE()))</f>
        <v>0.15418127203672655</v>
      </c>
      <c r="Y113">
        <f>NORMDIST($A$113,0,$B$7,FALSE())*(NORMDIST((H61-$A$113)/H18,0,1,TRUE())-NORMDIST((-H61-$A$113)/H18,0,1,TRUE()))</f>
        <v>0.23879685817679791</v>
      </c>
      <c r="Z113">
        <f>NORMDIST($A$113,0,$B$7,FALSE())*(NORMDIST((J26-$A$113)/J18,0,1,TRUE())-NORMDIST((-J26-$A$113)/J18,0,1,TRUE()))</f>
        <v>0.23081404617607876</v>
      </c>
      <c r="AA113">
        <f>NORMDIST($A$113,0,$B$7,FALSE())*(NORMDIST((J61-$A$113)/J18,0,1,TRUE())-NORMDIST((-J61-$A$113)/J18,0,1,TRUE()))</f>
        <v>0.24984161258190635</v>
      </c>
      <c r="AB113">
        <f>NORMDIST($A$113,0,$B$7,FALSE())*(NORMDIST((K26-$A$113)/K18,0,1,TRUE())-NORMDIST((-K26-$A$113)/K18,0,1,TRUE()))</f>
        <v>0.24876950795849823</v>
      </c>
      <c r="AC113">
        <f>NORMDIST($A$113,0,$B$7,FALSE())*(NORMDIST((K61-$A$113)/K18,0,1,TRUE())-NORMDIST((-K61-$A$113)/K18,0,1,TRUE()))</f>
        <v>0.25010444152981126</v>
      </c>
      <c r="AD113">
        <f>NORMDIST($A$113,0,$B$7,FALSE())*(NORMDIST((L26-$A$113)/L18,0,1,TRUE())-NORMDIST((-L26-$A$113)/L18,0,1,TRUE()))</f>
        <v>0.25007670530357407</v>
      </c>
      <c r="AE113">
        <f>NORMDIST($A$113,0,$B$7,FALSE())*(NORMDIST((L61-$A$113)/L18,0,1,TRUE())-NORMDIST((-L61-$A$113)/L18,0,1,TRUE()))</f>
        <v>0.25010575267800078</v>
      </c>
      <c r="AF113">
        <f t="shared" ref="AF113:AK113" si="84">NORMDIST($A$113,0,$B$7,FALSE())*(NORMDIST((C216-$A$113)/C18,0,1,TRUE())-NORMDIST((-C216-$A$113)/C18,0,1,TRUE()))</f>
        <v>0.24569464160419568</v>
      </c>
      <c r="AG113">
        <f t="shared" si="84"/>
        <v>0.25002710009719686</v>
      </c>
      <c r="AH113">
        <f t="shared" si="84"/>
        <v>0.25008456463914713</v>
      </c>
      <c r="AI113">
        <f t="shared" si="84"/>
        <v>0.25010575267800078</v>
      </c>
      <c r="AJ113">
        <f t="shared" si="84"/>
        <v>0.25010575479189689</v>
      </c>
      <c r="AK113">
        <f t="shared" si="84"/>
        <v>0.24569464160419568</v>
      </c>
      <c r="AL113">
        <f>NORMDIST($A$113,0,$B$7,FALSE())*(NORMDIST((J216-$A$113)/J18,0,1,TRUE())-NORMDIST((-J216-$A$113)/J18,0,1,TRUE()))</f>
        <v>0.25001661953464449</v>
      </c>
      <c r="AM113">
        <f>NORMDIST($A$113,0,$B$7,FALSE())*(NORMDIST((K216-$A$113)/K18,0,1,TRUE())-NORMDIST((-K216-$A$113)/K18,0,1,TRUE()))</f>
        <v>0.25010495481417538</v>
      </c>
      <c r="AN113">
        <f>NORMDIST($A$113,0,$B$7,FALSE())*(NORMDIST((L216-$A$113)/L18,0,1,TRUE())-NORMDIST((-L216-$A$113)/L18,0,1,TRUE()))</f>
        <v>0.25010575267800078</v>
      </c>
      <c r="AO113">
        <f t="shared" ref="AO113:AT113" si="85">NORMDIST($A$113,0,$B$7,FALSE())*(NORMDIST(($B$5-$A$113)/C18,0,1,TRUE())-NORMDIST((-$B$5-$A$113)/C18,0,1,TRUE()))</f>
        <v>0.24709886346027152</v>
      </c>
      <c r="AP113">
        <f t="shared" si="85"/>
        <v>0.25002710009719686</v>
      </c>
      <c r="AQ113">
        <f t="shared" si="85"/>
        <v>0.25008456463914713</v>
      </c>
      <c r="AR113">
        <f t="shared" si="85"/>
        <v>0.25010575267800078</v>
      </c>
      <c r="AS113">
        <f t="shared" si="85"/>
        <v>0.25010575479189689</v>
      </c>
      <c r="AT113">
        <f t="shared" si="85"/>
        <v>0.24709886346027152</v>
      </c>
    </row>
    <row r="114" spans="1:46" ht="15" customHeight="1" x14ac:dyDescent="0.25">
      <c r="A114">
        <f>A102+12*2*$B$5/39</f>
        <v>-0.76923076923076916</v>
      </c>
      <c r="N114">
        <f>NORMDIST($A$114,0,$B$7,FALSE())*(NORMDIST((C26-$A$114)/C18,0,1,TRUE())-NORMDIST((-C26-$A$114)/C18,0,1,TRUE()))</f>
        <v>0.18258359399588767</v>
      </c>
      <c r="O114">
        <f>NORMDIST($A$114,0,$B$7,FALSE())*(NORMDIST((C61-$A$114)/C18,0,1,TRUE())-NORMDIST((-C61-$A$114)/C18,0,1,TRUE()))</f>
        <v>0.25630437888436552</v>
      </c>
      <c r="P114">
        <f>NORMDIST($A$114,0,$B$7,FALSE())*(NORMDIST((D26-$A$114)/D18,0,1,TRUE())-NORMDIST((-D26-$A$114)/D18,0,1,TRUE()))</f>
        <v>0.25378016660729114</v>
      </c>
      <c r="Q114">
        <f>NORMDIST($A$114,0,$B$7,FALSE())*(NORMDIST((D61-$A$114)/D18,0,1,TRUE())-NORMDIST((-D61-$A$114)/D18,0,1,TRUE()))</f>
        <v>0.26383263948916169</v>
      </c>
      <c r="R114">
        <f>NORMDIST($A$114,0,$B$7,FALSE())*(NORMDIST((E26-$A$114)/E18,0,1,TRUE())-NORMDIST((-E26-$A$114)/E18,0,1,TRUE()))</f>
        <v>0.25967138480139157</v>
      </c>
      <c r="S114">
        <f>NORMDIST($A$114,0,$B$7,FALSE())*(NORMDIST((E61-$A$114)/E18,0,1,TRUE())-NORMDIST((-E61-$A$114)/E18,0,1,TRUE()))</f>
        <v>0.26389883967887956</v>
      </c>
      <c r="T114">
        <f>NORMDIST($A$114,0,$B$7,FALSE())*(NORMDIST((F26-$A$114)/F18,0,1,TRUE())-NORMDIST((-F26-$A$114)/F18,0,1,TRUE()))</f>
        <v>0.26390992738515695</v>
      </c>
      <c r="U114">
        <f>NORMDIST($A$114,0,$B$7,FALSE())*(NORMDIST((F61-$A$114)/F18,0,1,TRUE())-NORMDIST((-F61-$A$114)/F18,0,1,TRUE()))</f>
        <v>0.26391354638498982</v>
      </c>
      <c r="V114">
        <f>NORMDIST($A$114,0,$B$7,FALSE())*(NORMDIST((G26-$A$114)/G18,0,1,TRUE())-NORMDIST((-G26-$A$114)/G18,0,1,TRUE()))</f>
        <v>0.26391354648478349</v>
      </c>
      <c r="W114">
        <f>NORMDIST($A$114,0,$B$7,FALSE())*(NORMDIST((G61-$A$114)/G18,0,1,TRUE())-NORMDIST((-G61-$A$114)/G18,0,1,TRUE()))</f>
        <v>0.26391354648478349</v>
      </c>
      <c r="X114">
        <f>NORMDIST($A$114,0,$B$7,FALSE())*(NORMDIST((H26-$A$114)/H18,0,1,TRUE())-NORMDIST((-H26-$A$114)/H18,0,1,TRUE()))</f>
        <v>0.18258359399588767</v>
      </c>
      <c r="Y114">
        <f>NORMDIST($A$114,0,$B$7,FALSE())*(NORMDIST((H61-$A$114)/H18,0,1,TRUE())-NORMDIST((-H61-$A$114)/H18,0,1,TRUE()))</f>
        <v>0.25630437888436552</v>
      </c>
      <c r="Z114">
        <f>NORMDIST($A$114,0,$B$7,FALSE())*(NORMDIST((J26-$A$114)/J18,0,1,TRUE())-NORMDIST((-J26-$A$114)/J18,0,1,TRUE()))</f>
        <v>0.25293226304470179</v>
      </c>
      <c r="AA114">
        <f>NORMDIST($A$114,0,$B$7,FALSE())*(NORMDIST((J61-$A$114)/J18,0,1,TRUE())-NORMDIST((-J61-$A$114)/J18,0,1,TRUE()))</f>
        <v>0.26381847646207202</v>
      </c>
      <c r="AB114">
        <f>NORMDIST($A$114,0,$B$7,FALSE())*(NORMDIST((K26-$A$114)/K18,0,1,TRUE())-NORMDIST((-K26-$A$114)/K18,0,1,TRUE()))</f>
        <v>0.2635116319598057</v>
      </c>
      <c r="AC114">
        <f>NORMDIST($A$114,0,$B$7,FALSE())*(NORMDIST((K61-$A$114)/K18,0,1,TRUE())-NORMDIST((-K61-$A$114)/K18,0,1,TRUE()))</f>
        <v>0.26391335402096033</v>
      </c>
      <c r="AD114">
        <f>NORMDIST($A$114,0,$B$7,FALSE())*(NORMDIST((L26-$A$114)/L18,0,1,TRUE())-NORMDIST((-L26-$A$114)/L18,0,1,TRUE()))</f>
        <v>0.26390992738515695</v>
      </c>
      <c r="AE114">
        <f>NORMDIST($A$114,0,$B$7,FALSE())*(NORMDIST((L61-$A$114)/L18,0,1,TRUE())-NORMDIST((-L61-$A$114)/L18,0,1,TRUE()))</f>
        <v>0.26391354638498982</v>
      </c>
      <c r="AF114">
        <f t="shared" ref="AF114:AK114" si="86">NORMDIST($A$114,0,$B$7,FALSE())*(NORMDIST((C216-$A$114)/C18,0,1,TRUE())-NORMDIST((-C216-$A$114)/C18,0,1,TRUE()))</f>
        <v>0.26115959546211653</v>
      </c>
      <c r="AG114">
        <f t="shared" si="86"/>
        <v>0.26388823966386848</v>
      </c>
      <c r="AH114">
        <f t="shared" si="86"/>
        <v>0.26390815477589968</v>
      </c>
      <c r="AI114">
        <f t="shared" si="86"/>
        <v>0.26391354638498982</v>
      </c>
      <c r="AJ114">
        <f t="shared" si="86"/>
        <v>0.26391354648478349</v>
      </c>
      <c r="AK114">
        <f t="shared" si="86"/>
        <v>0.26115959546211653</v>
      </c>
      <c r="AL114">
        <f>NORMDIST($A$114,0,$B$7,FALSE())*(NORMDIST((J216-$A$114)/J18,0,1,TRUE())-NORMDIST((-J216-$A$114)/J18,0,1,TRUE()))</f>
        <v>0.26388422194614936</v>
      </c>
      <c r="AM114">
        <f>NORMDIST($A$114,0,$B$7,FALSE())*(NORMDIST((K216-$A$114)/K18,0,1,TRUE())-NORMDIST((-K216-$A$114)/K18,0,1,TRUE()))</f>
        <v>0.26391343406560325</v>
      </c>
      <c r="AN114">
        <f>NORMDIST($A$114,0,$B$7,FALSE())*(NORMDIST((L216-$A$114)/L18,0,1,TRUE())-NORMDIST((-L216-$A$114)/L18,0,1,TRUE()))</f>
        <v>0.26391354638498982</v>
      </c>
      <c r="AO114">
        <f t="shared" ref="AO114:AT114" si="87">NORMDIST($A$114,0,$B$7,FALSE())*(NORMDIST(($B$5-$A$114)/C18,0,1,TRUE())-NORMDIST((-$B$5-$A$114)/C18,0,1,TRUE()))</f>
        <v>0.26208801862538522</v>
      </c>
      <c r="AP114">
        <f t="shared" si="87"/>
        <v>0.26388823966386848</v>
      </c>
      <c r="AQ114">
        <f t="shared" si="87"/>
        <v>0.26390815477589968</v>
      </c>
      <c r="AR114">
        <f t="shared" si="87"/>
        <v>0.26391354638498982</v>
      </c>
      <c r="AS114">
        <f t="shared" si="87"/>
        <v>0.26391354648478349</v>
      </c>
      <c r="AT114">
        <f t="shared" si="87"/>
        <v>0.26208801862538522</v>
      </c>
    </row>
    <row r="115" spans="1:46" ht="15" customHeight="1" x14ac:dyDescent="0.25">
      <c r="A115">
        <f>A102+13*2*$B$5/39</f>
        <v>-0.66666666666666674</v>
      </c>
      <c r="N115">
        <f>NORMDIST($A$115,0,$B$7,FALSE())*(NORMDIST((C26-$A$115)/C18,0,1,TRUE())-NORMDIST((-C26-$A$115)/C18,0,1,TRUE()))</f>
        <v>0.21015923760776425</v>
      </c>
      <c r="O115">
        <f>NORMDIST($A$115,0,$B$7,FALSE())*(NORMDIST((C61-$A$115)/C18,0,1,TRUE())-NORMDIST((-C61-$A$115)/C18,0,1,TRUE()))</f>
        <v>0.27171830252075574</v>
      </c>
      <c r="P115">
        <f>NORMDIST($A$115,0,$B$7,FALSE())*(NORMDIST((D26-$A$115)/D18,0,1,TRUE())-NORMDIST((-D26-$A$115)/D18,0,1,TRUE()))</f>
        <v>0.27143425079742617</v>
      </c>
      <c r="Q115">
        <f>NORMDIST($A$115,0,$B$7,FALSE())*(NORMDIST((D61-$A$115)/D18,0,1,TRUE())-NORMDIST((-D61-$A$115)/D18,0,1,TRUE()))</f>
        <v>0.2765934655369055</v>
      </c>
      <c r="R115">
        <f>NORMDIST($A$115,0,$B$7,FALSE())*(NORMDIST((E26-$A$115)/E18,0,1,TRUE())-NORMDIST((-E26-$A$115)/E18,0,1,TRUE()))</f>
        <v>0.27482465074037393</v>
      </c>
      <c r="S115">
        <f>NORMDIST($A$115,0,$B$7,FALSE())*(NORMDIST((E61-$A$115)/E18,0,1,TRUE())-NORMDIST((-E61-$A$115)/E18,0,1,TRUE()))</f>
        <v>0.27661567642465751</v>
      </c>
      <c r="T115">
        <f>NORMDIST($A$115,0,$B$7,FALSE())*(NORMDIST((F26-$A$115)/F18,0,1,TRUE())-NORMDIST((-F26-$A$115)/F18,0,1,TRUE()))</f>
        <v>0.27661892189329401</v>
      </c>
      <c r="U115">
        <f>NORMDIST($A$115,0,$B$7,FALSE())*(NORMDIST((F61-$A$115)/F18,0,1,TRUE())-NORMDIST((-F61-$A$115)/F18,0,1,TRUE()))</f>
        <v>0.27661927015351795</v>
      </c>
      <c r="V115">
        <f>NORMDIST($A$115,0,$B$7,FALSE())*(NORMDIST((G26-$A$115)/G18,0,1,TRUE())-NORMDIST((-G26-$A$115)/G18,0,1,TRUE()))</f>
        <v>0.27661927015713722</v>
      </c>
      <c r="W115">
        <f>NORMDIST($A$115,0,$B$7,FALSE())*(NORMDIST((G61-$A$115)/G18,0,1,TRUE())-NORMDIST((-G61-$A$115)/G18,0,1,TRUE()))</f>
        <v>0.27661927015713722</v>
      </c>
      <c r="X115">
        <f>NORMDIST($A$115,0,$B$7,FALSE())*(NORMDIST((H26-$A$115)/H18,0,1,TRUE())-NORMDIST((-H26-$A$115)/H18,0,1,TRUE()))</f>
        <v>0.21015923760776425</v>
      </c>
      <c r="Y115">
        <f>NORMDIST($A$115,0,$B$7,FALSE())*(NORMDIST((H61-$A$115)/H18,0,1,TRUE())-NORMDIST((-H61-$A$115)/H18,0,1,TRUE()))</f>
        <v>0.27171830252075574</v>
      </c>
      <c r="Z115">
        <f>NORMDIST($A$115,0,$B$7,FALSE())*(NORMDIST((J26-$A$115)/J18,0,1,TRUE())-NORMDIST((-J26-$A$115)/J18,0,1,TRUE()))</f>
        <v>0.27090012148159015</v>
      </c>
      <c r="AA115">
        <f>NORMDIST($A$115,0,$B$7,FALSE())*(NORMDIST((J61-$A$115)/J18,0,1,TRUE())-NORMDIST((-J61-$A$115)/J18,0,1,TRUE()))</f>
        <v>0.27658817595849877</v>
      </c>
      <c r="AB115">
        <f>NORMDIST($A$115,0,$B$7,FALSE())*(NORMDIST((K26-$A$115)/K18,0,1,TRUE())-NORMDIST((-K26-$A$115)/K18,0,1,TRUE()))</f>
        <v>0.27651655590366836</v>
      </c>
      <c r="AC115">
        <f>NORMDIST($A$115,0,$B$7,FALSE())*(NORMDIST((K61-$A$115)/K18,0,1,TRUE())-NORMDIST((-K61-$A$115)/K18,0,1,TRUE()))</f>
        <v>0.2766192463404939</v>
      </c>
      <c r="AD115">
        <f>NORMDIST($A$115,0,$B$7,FALSE())*(NORMDIST((L26-$A$115)/L18,0,1,TRUE())-NORMDIST((-L26-$A$115)/L18,0,1,TRUE()))</f>
        <v>0.27661892189329401</v>
      </c>
      <c r="AE115">
        <f>NORMDIST($A$115,0,$B$7,FALSE())*(NORMDIST((L61-$A$115)/L18,0,1,TRUE())-NORMDIST((-L61-$A$115)/L18,0,1,TRUE()))</f>
        <v>0.27661927015351795</v>
      </c>
      <c r="AF115">
        <f t="shared" ref="AF115:AK115" si="88">NORMDIST($A$115,0,$B$7,FALSE())*(NORMDIST((C216-$A$115)/C18,0,1,TRUE())-NORMDIST((-C216-$A$115)/C18,0,1,TRUE()))</f>
        <v>0.2749750341502426</v>
      </c>
      <c r="AG115">
        <f t="shared" si="88"/>
        <v>0.27661189006640163</v>
      </c>
      <c r="AH115">
        <f t="shared" si="88"/>
        <v>0.27661805138267348</v>
      </c>
      <c r="AI115">
        <f t="shared" si="88"/>
        <v>0.27661927015351795</v>
      </c>
      <c r="AJ115">
        <f t="shared" si="88"/>
        <v>0.27661927015713722</v>
      </c>
      <c r="AK115">
        <f t="shared" si="88"/>
        <v>0.2749750341502426</v>
      </c>
      <c r="AL115">
        <f>NORMDIST($A$115,0,$B$7,FALSE())*(NORMDIST((J216-$A$115)/J18,0,1,TRUE())-NORMDIST((-J216-$A$115)/J18,0,1,TRUE()))</f>
        <v>0.27661050928133618</v>
      </c>
      <c r="AM115">
        <f>NORMDIST($A$115,0,$B$7,FALSE())*(NORMDIST((K216-$A$115)/K18,0,1,TRUE())-NORMDIST((-K216-$A$115)/K18,0,1,TRUE()))</f>
        <v>0.27661925682048305</v>
      </c>
      <c r="AN115">
        <f>NORMDIST($A$115,0,$B$7,FALSE())*(NORMDIST((L216-$A$115)/L18,0,1,TRUE())-NORMDIST((-L216-$A$115)/L18,0,1,TRUE()))</f>
        <v>0.27661927015351795</v>
      </c>
      <c r="AO115">
        <f t="shared" ref="AO115:AT115" si="89">NORMDIST($A$115,0,$B$7,FALSE())*(NORMDIST(($B$5-$A$115)/C18,0,1,TRUE())-NORMDIST((-$B$5-$A$115)/C18,0,1,TRUE()))</f>
        <v>0.27555969974345229</v>
      </c>
      <c r="AP115">
        <f t="shared" si="89"/>
        <v>0.27661189006640163</v>
      </c>
      <c r="AQ115">
        <f t="shared" si="89"/>
        <v>0.27661805138267348</v>
      </c>
      <c r="AR115">
        <f t="shared" si="89"/>
        <v>0.27661927015351795</v>
      </c>
      <c r="AS115">
        <f t="shared" si="89"/>
        <v>0.27661927015713722</v>
      </c>
      <c r="AT115">
        <f t="shared" si="89"/>
        <v>0.27555969974345229</v>
      </c>
    </row>
    <row r="116" spans="1:46" ht="15" customHeight="1" x14ac:dyDescent="0.25">
      <c r="A116">
        <f>A102+14*2*$B$5/39</f>
        <v>-0.5641025641025641</v>
      </c>
      <c r="N116">
        <f>NORMDIST($A$116,0,$B$7,FALSE())*(NORMDIST((C26-$A$116)/C18,0,1,TRUE())-NORMDIST((-C26-$A$116)/C18,0,1,TRUE()))</f>
        <v>0.23566532311550198</v>
      </c>
      <c r="O116">
        <f>NORMDIST($A$116,0,$B$7,FALSE())*(NORMDIST((C61-$A$116)/C18,0,1,TRUE())-NORMDIST((-C61-$A$116)/C18,0,1,TRUE()))</f>
        <v>0.2849751378124375</v>
      </c>
      <c r="P116">
        <f>NORMDIST($A$116,0,$B$7,FALSE())*(NORMDIST((D26-$A$116)/D18,0,1,TRUE())-NORMDIST((-D26-$A$116)/D18,0,1,TRUE()))</f>
        <v>0.2855774654738914</v>
      </c>
      <c r="Q116">
        <f>NORMDIST($A$116,0,$B$7,FALSE())*(NORMDIST((D61-$A$116)/D18,0,1,TRUE())-NORMDIST((-D61-$A$116)/D18,0,1,TRUE()))</f>
        <v>0.28798819151429561</v>
      </c>
      <c r="R116">
        <f>NORMDIST($A$116,0,$B$7,FALSE())*(NORMDIST((E26-$A$116)/E18,0,1,TRUE())-NORMDIST((-E26-$A$116)/E18,0,1,TRUE()))</f>
        <v>0.28731763018287909</v>
      </c>
      <c r="S116">
        <f>NORMDIST($A$116,0,$B$7,FALSE())*(NORMDIST((E61-$A$116)/E18,0,1,TRUE())-NORMDIST((-E61-$A$116)/E18,0,1,TRUE()))</f>
        <v>0.28799487109480182</v>
      </c>
      <c r="T116">
        <f>NORMDIST($A$116,0,$B$7,FALSE())*(NORMDIST((F26-$A$116)/F18,0,1,TRUE())-NORMDIST((-F26-$A$116)/F18,0,1,TRUE()))</f>
        <v>0.28799562525216049</v>
      </c>
      <c r="U116">
        <f>NORMDIST($A$116,0,$B$7,FALSE())*(NORMDIST((F61-$A$116)/F18,0,1,TRUE())-NORMDIST((-F61-$A$116)/F18,0,1,TRUE()))</f>
        <v>0.28799565108803926</v>
      </c>
      <c r="V116">
        <f>NORMDIST($A$116,0,$B$7,FALSE())*(NORMDIST((G26-$A$116)/G18,0,1,TRUE())-NORMDIST((-G26-$A$116)/G18,0,1,TRUE()))</f>
        <v>0.28799565108814001</v>
      </c>
      <c r="W116">
        <f>NORMDIST($A$116,0,$B$7,FALSE())*(NORMDIST((G61-$A$116)/G18,0,1,TRUE())-NORMDIST((-G61-$A$116)/G18,0,1,TRUE()))</f>
        <v>0.28799565108814001</v>
      </c>
      <c r="X116">
        <f>NORMDIST($A$116,0,$B$7,FALSE())*(NORMDIST((H26-$A$116)/H18,0,1,TRUE())-NORMDIST((-H26-$A$116)/H18,0,1,TRUE()))</f>
        <v>0.23566532311550198</v>
      </c>
      <c r="Y116">
        <f>NORMDIST($A$116,0,$B$7,FALSE())*(NORMDIST((H61-$A$116)/H18,0,1,TRUE())-NORMDIST((-H61-$A$116)/H18,0,1,TRUE()))</f>
        <v>0.2849751378124375</v>
      </c>
      <c r="Z116">
        <f>NORMDIST($A$116,0,$B$7,FALSE())*(NORMDIST((J26-$A$116)/J18,0,1,TRUE())-NORMDIST((-J26-$A$116)/J18,0,1,TRUE()))</f>
        <v>0.2852755136124317</v>
      </c>
      <c r="AA116">
        <f>NORMDIST($A$116,0,$B$7,FALSE())*(NORMDIST((J61-$A$116)/J18,0,1,TRUE())-NORMDIST((-J61-$A$116)/J18,0,1,TRUE()))</f>
        <v>0.2879864157590733</v>
      </c>
      <c r="AB116">
        <f>NORMDIST($A$116,0,$B$7,FALSE())*(NORMDIST((K26-$A$116)/K18,0,1,TRUE())-NORMDIST((-K26-$A$116)/K18,0,1,TRUE()))</f>
        <v>0.28797339153704382</v>
      </c>
      <c r="AC116">
        <f>NORMDIST($A$116,0,$B$7,FALSE())*(NORMDIST((K61-$A$116)/K18,0,1,TRUE())-NORMDIST((-K61-$A$116)/K18,0,1,TRUE()))</f>
        <v>0.28799564860144489</v>
      </c>
      <c r="AD116">
        <f>NORMDIST($A$116,0,$B$7,FALSE())*(NORMDIST((L26-$A$116)/L18,0,1,TRUE())-NORMDIST((-L26-$A$116)/L18,0,1,TRUE()))</f>
        <v>0.28799562525216049</v>
      </c>
      <c r="AE116">
        <f>NORMDIST($A$116,0,$B$7,FALSE())*(NORMDIST((L61-$A$116)/L18,0,1,TRUE())-NORMDIST((-L61-$A$116)/L18,0,1,TRUE()))</f>
        <v>0.28799565108803926</v>
      </c>
      <c r="AF116">
        <f t="shared" ref="AF116:AK116" si="90">NORMDIST($A$116,0,$B$7,FALSE())*(NORMDIST((C216-$A$116)/C18,0,1,TRUE())-NORMDIST((-C216-$A$116)/C18,0,1,TRUE()))</f>
        <v>0.28705717141522213</v>
      </c>
      <c r="AG116">
        <f t="shared" si="90"/>
        <v>0.28799370147577169</v>
      </c>
      <c r="AH116">
        <f t="shared" si="90"/>
        <v>0.28799540648897576</v>
      </c>
      <c r="AI116">
        <f t="shared" si="90"/>
        <v>0.28799565108803926</v>
      </c>
      <c r="AJ116">
        <f t="shared" si="90"/>
        <v>0.28799565108814001</v>
      </c>
      <c r="AK116">
        <f t="shared" si="90"/>
        <v>0.28705717141522213</v>
      </c>
      <c r="AL116">
        <f>NORMDIST($A$116,0,$B$7,FALSE())*(NORMDIST((J216-$A$116)/J18,0,1,TRUE())-NORMDIST((-J216-$A$116)/J18,0,1,TRUE()))</f>
        <v>0.28799327560424032</v>
      </c>
      <c r="AM116">
        <f>NORMDIST($A$116,0,$B$7,FALSE())*(NORMDIST((K216-$A$116)/K18,0,1,TRUE())-NORMDIST((-K216-$A$116)/K18,0,1,TRUE()))</f>
        <v>0.28799564975342123</v>
      </c>
      <c r="AN116">
        <f>NORMDIST($A$116,0,$B$7,FALSE())*(NORMDIST((L216-$A$116)/L18,0,1,TRUE())-NORMDIST((-L216-$A$116)/L18,0,1,TRUE()))</f>
        <v>0.28799565108803926</v>
      </c>
      <c r="AO116">
        <f t="shared" ref="AO116:AT116" si="91">NORMDIST($A$116,0,$B$7,FALSE())*(NORMDIST(($B$5-$A$116)/C18,0,1,TRUE())-NORMDIST((-$B$5-$A$116)/C18,0,1,TRUE()))</f>
        <v>0.28740788500238645</v>
      </c>
      <c r="AP116">
        <f t="shared" si="91"/>
        <v>0.28799370147577169</v>
      </c>
      <c r="AQ116">
        <f t="shared" si="91"/>
        <v>0.28799540648897576</v>
      </c>
      <c r="AR116">
        <f t="shared" si="91"/>
        <v>0.28799565108803926</v>
      </c>
      <c r="AS116">
        <f t="shared" si="91"/>
        <v>0.28799565108814001</v>
      </c>
      <c r="AT116">
        <f t="shared" si="91"/>
        <v>0.28740788500238645</v>
      </c>
    </row>
    <row r="117" spans="1:46" ht="15" customHeight="1" x14ac:dyDescent="0.25">
      <c r="A117">
        <f>A102+15*2*$B$5/39</f>
        <v>-0.46153846153846145</v>
      </c>
      <c r="N117">
        <f>NORMDIST($A$117,0,$B$7,FALSE())*(NORMDIST((C26-$A$117)/C18,0,1,TRUE())-NORMDIST((-C26-$A$117)/C18,0,1,TRUE()))</f>
        <v>0.2580610416111368</v>
      </c>
      <c r="O117">
        <f>NORMDIST($A$117,0,$B$7,FALSE())*(NORMDIST((C61-$A$117)/C18,0,1,TRUE())-NORMDIST((-C61-$A$117)/C18,0,1,TRUE()))</f>
        <v>0.29605115050484992</v>
      </c>
      <c r="P117">
        <f>NORMDIST($A$117,0,$B$7,FALSE())*(NORMDIST((D26-$A$117)/D18,0,1,TRUE())-NORMDIST((-D26-$A$117)/D18,0,1,TRUE()))</f>
        <v>0.29680618443949108</v>
      </c>
      <c r="Q117">
        <f>NORMDIST($A$117,0,$B$7,FALSE())*(NORMDIST((D61-$A$117)/D18,0,1,TRUE())-NORMDIST((-D61-$A$117)/D18,0,1,TRUE()))</f>
        <v>0.29783060938308986</v>
      </c>
      <c r="R117">
        <f>NORMDIST($A$117,0,$B$7,FALSE())*(NORMDIST((E26-$A$117)/E18,0,1,TRUE())-NORMDIST((-E26-$A$117)/E18,0,1,TRUE()))</f>
        <v>0.2976041500644227</v>
      </c>
      <c r="S117">
        <f>NORMDIST($A$117,0,$B$7,FALSE())*(NORMDIST((E61-$A$117)/E18,0,1,TRUE())-NORMDIST((-E61-$A$117)/E18,0,1,TRUE()))</f>
        <v>0.29783241248973441</v>
      </c>
      <c r="T117">
        <f>NORMDIST($A$117,0,$B$7,FALSE())*(NORMDIST((F26-$A$117)/F18,0,1,TRUE())-NORMDIST((-F26-$A$117)/F18,0,1,TRUE()))</f>
        <v>0.29783256129323116</v>
      </c>
      <c r="U117">
        <f>NORMDIST($A$117,0,$B$7,FALSE())*(NORMDIST((F61-$A$117)/F18,0,1,TRUE())-NORMDIST((-F61-$A$117)/F18,0,1,TRUE()))</f>
        <v>0.29783256276859221</v>
      </c>
      <c r="V117">
        <f>NORMDIST($A$117,0,$B$7,FALSE())*(NORMDIST((G26-$A$117)/G18,0,1,TRUE())-NORMDIST((-G26-$A$117)/G18,0,1,TRUE()))</f>
        <v>0.29783256276859438</v>
      </c>
      <c r="W117">
        <f>NORMDIST($A$117,0,$B$7,FALSE())*(NORMDIST((G61-$A$117)/G18,0,1,TRUE())-NORMDIST((-G61-$A$117)/G18,0,1,TRUE()))</f>
        <v>0.29783256276859438</v>
      </c>
      <c r="X117">
        <f>NORMDIST($A$117,0,$B$7,FALSE())*(NORMDIST((H26-$A$117)/H18,0,1,TRUE())-NORMDIST((-H26-$A$117)/H18,0,1,TRUE()))</f>
        <v>0.2580610416111368</v>
      </c>
      <c r="Y117">
        <f>NORMDIST($A$117,0,$B$7,FALSE())*(NORMDIST((H61-$A$117)/H18,0,1,TRUE())-NORMDIST((-H61-$A$117)/H18,0,1,TRUE()))</f>
        <v>0.29605115050484992</v>
      </c>
      <c r="Z117">
        <f>NORMDIST($A$117,0,$B$7,FALSE())*(NORMDIST((J26-$A$117)/J18,0,1,TRUE())-NORMDIST((-J26-$A$117)/J18,0,1,TRUE()))</f>
        <v>0.29665286868547103</v>
      </c>
      <c r="AA117">
        <f>NORMDIST($A$117,0,$B$7,FALSE())*(NORMDIST((J61-$A$117)/J18,0,1,TRUE())-NORMDIST((-J61-$A$117)/J18,0,1,TRUE()))</f>
        <v>0.29783007324745403</v>
      </c>
      <c r="AB117">
        <f>NORMDIST($A$117,0,$B$7,FALSE())*(NORMDIST((K26-$A$117)/K18,0,1,TRUE())-NORMDIST((-K26-$A$117)/K18,0,1,TRUE()))</f>
        <v>0.29782847853066435</v>
      </c>
      <c r="AC117">
        <f>NORMDIST($A$117,0,$B$7,FALSE())*(NORMDIST((K61-$A$117)/K18,0,1,TRUE())-NORMDIST((-K61-$A$117)/K18,0,1,TRUE()))</f>
        <v>0.29783256254966334</v>
      </c>
      <c r="AD117">
        <f>NORMDIST($A$117,0,$B$7,FALSE())*(NORMDIST((L26-$A$117)/L18,0,1,TRUE())-NORMDIST((-L26-$A$117)/L18,0,1,TRUE()))</f>
        <v>0.29783256129323116</v>
      </c>
      <c r="AE117">
        <f>NORMDIST($A$117,0,$B$7,FALSE())*(NORMDIST((L61-$A$117)/L18,0,1,TRUE())-NORMDIST((-L61-$A$117)/L18,0,1,TRUE()))</f>
        <v>0.29783256276859221</v>
      </c>
      <c r="AF117">
        <f t="shared" ref="AF117:AK117" si="92">NORMDIST($A$117,0,$B$7,FALSE())*(NORMDIST((C216-$A$117)/C18,0,1,TRUE())-NORMDIST((-C216-$A$117)/C18,0,1,TRUE()))</f>
        <v>0.29732051219751549</v>
      </c>
      <c r="AG117">
        <f t="shared" si="92"/>
        <v>0.29783209644603931</v>
      </c>
      <c r="AH117">
        <f t="shared" si="92"/>
        <v>0.29783251920795817</v>
      </c>
      <c r="AI117">
        <f t="shared" si="92"/>
        <v>0.29783256276859221</v>
      </c>
      <c r="AJ117">
        <f t="shared" si="92"/>
        <v>0.29783256276859438</v>
      </c>
      <c r="AK117">
        <f t="shared" si="92"/>
        <v>0.29732051219751549</v>
      </c>
      <c r="AL117">
        <f>NORMDIST($A$117,0,$B$7,FALSE())*(NORMDIST((J216-$A$117)/J18,0,1,TRUE())-NORMDIST((-J216-$A$117)/J18,0,1,TRUE()))</f>
        <v>0.29783197846875464</v>
      </c>
      <c r="AM117">
        <f>NORMDIST($A$117,0,$B$7,FALSE())*(NORMDIST((K216-$A$117)/K18,0,1,TRUE())-NORMDIST((-K216-$A$117)/K18,0,1,TRUE()))</f>
        <v>0.29783256265597491</v>
      </c>
      <c r="AN117">
        <f>NORMDIST($A$117,0,$B$7,FALSE())*(NORMDIST((L216-$A$117)/L18,0,1,TRUE())-NORMDIST((-L216-$A$117)/L18,0,1,TRUE()))</f>
        <v>0.29783256276859221</v>
      </c>
      <c r="AO117">
        <f t="shared" ref="AO117:AT117" si="93">NORMDIST($A$117,0,$B$7,FALSE())*(NORMDIST(($B$5-$A$117)/C18,0,1,TRUE())-NORMDIST((-$B$5-$A$117)/C18,0,1,TRUE()))</f>
        <v>0.29752097859139931</v>
      </c>
      <c r="AP117">
        <f t="shared" si="93"/>
        <v>0.29783209644603931</v>
      </c>
      <c r="AQ117">
        <f t="shared" si="93"/>
        <v>0.29783251920795817</v>
      </c>
      <c r="AR117">
        <f t="shared" si="93"/>
        <v>0.29783256276859221</v>
      </c>
      <c r="AS117">
        <f t="shared" si="93"/>
        <v>0.29783256276859438</v>
      </c>
      <c r="AT117">
        <f t="shared" si="93"/>
        <v>0.29752097859139931</v>
      </c>
    </row>
    <row r="118" spans="1:46" ht="15" customHeight="1" x14ac:dyDescent="0.25">
      <c r="A118">
        <f>A102+16*2*$B$5/39</f>
        <v>-0.35897435897435903</v>
      </c>
      <c r="N118">
        <f>NORMDIST($A$118,0,$B$7,FALSE())*(NORMDIST((C26-$A$118)/C18,0,1,TRUE())-NORMDIST((-C26-$A$118)/C18,0,1,TRUE()))</f>
        <v>0.27657784532999785</v>
      </c>
      <c r="O118">
        <f>NORMDIST($A$118,0,$B$7,FALSE())*(NORMDIST((C61-$A$118)/C18,0,1,TRUE())-NORMDIST((-C61-$A$118)/C18,0,1,TRUE()))</f>
        <v>0.30493610121673104</v>
      </c>
      <c r="P118">
        <f>NORMDIST($A$118,0,$B$7,FALSE())*(NORMDIST((D26-$A$118)/D18,0,1,TRUE())-NORMDIST((-D26-$A$118)/D18,0,1,TRUE()))</f>
        <v>0.30554747010101174</v>
      </c>
      <c r="Q118">
        <f>NORMDIST($A$118,0,$B$7,FALSE())*(NORMDIST((D61-$A$118)/D18,0,1,TRUE())-NORMDIST((-D61-$A$118)/D18,0,1,TRUE()))</f>
        <v>0.3059429994024585</v>
      </c>
      <c r="R118">
        <f>NORMDIST($A$118,0,$B$7,FALSE())*(NORMDIST((E26-$A$118)/E18,0,1,TRUE())-NORMDIST((-E26-$A$118)/E18,0,1,TRUE()))</f>
        <v>0.30587493636873969</v>
      </c>
      <c r="S118">
        <f>NORMDIST($A$118,0,$B$7,FALSE())*(NORMDIST((E61-$A$118)/E18,0,1,TRUE())-NORMDIST((-E61-$A$118)/E18,0,1,TRUE()))</f>
        <v>0.30594343685099412</v>
      </c>
      <c r="T118">
        <f>NORMDIST($A$118,0,$B$7,FALSE())*(NORMDIST((F26-$A$118)/F18,0,1,TRUE())-NORMDIST((-F26-$A$118)/F18,0,1,TRUE()))</f>
        <v>0.3059434624754403</v>
      </c>
      <c r="U118">
        <f>NORMDIST($A$118,0,$B$7,FALSE())*(NORMDIST((F61-$A$118)/F18,0,1,TRUE())-NORMDIST((-F61-$A$118)/F18,0,1,TRUE()))</f>
        <v>0.30594346254021654</v>
      </c>
      <c r="V118">
        <f>NORMDIST($A$118,0,$B$7,FALSE())*(NORMDIST((G26-$A$118)/G18,0,1,TRUE())-NORMDIST((-G26-$A$118)/G18,0,1,TRUE()))</f>
        <v>0.30594346254021659</v>
      </c>
      <c r="W118">
        <f>NORMDIST($A$118,0,$B$7,FALSE())*(NORMDIST((G61-$A$118)/G18,0,1,TRUE())-NORMDIST((-G61-$A$118)/G18,0,1,TRUE()))</f>
        <v>0.30594346254021659</v>
      </c>
      <c r="X118">
        <f>NORMDIST($A$118,0,$B$7,FALSE())*(NORMDIST((H26-$A$118)/H18,0,1,TRUE())-NORMDIST((-H26-$A$118)/H18,0,1,TRUE()))</f>
        <v>0.27657784532999785</v>
      </c>
      <c r="Y118">
        <f>NORMDIST($A$118,0,$B$7,FALSE())*(NORMDIST((H61-$A$118)/H18,0,1,TRUE())-NORMDIST((-H61-$A$118)/H18,0,1,TRUE()))</f>
        <v>0.30493610121673104</v>
      </c>
      <c r="Z118">
        <f>NORMDIST($A$118,0,$B$7,FALSE())*(NORMDIST((J26-$A$118)/J18,0,1,TRUE())-NORMDIST((-J26-$A$118)/J18,0,1,TRUE()))</f>
        <v>0.30547749305597549</v>
      </c>
      <c r="AA118">
        <f>NORMDIST($A$118,0,$B$7,FALSE())*(NORMDIST((J61-$A$118)/J18,0,1,TRUE())-NORMDIST((-J61-$A$118)/J18,0,1,TRUE()))</f>
        <v>0.30594285375854852</v>
      </c>
      <c r="AB118">
        <f>NORMDIST($A$118,0,$B$7,FALSE())*(NORMDIST((K26-$A$118)/K18,0,1,TRUE())-NORMDIST((-K26-$A$118)/K18,0,1,TRUE()))</f>
        <v>0.3059428288574299</v>
      </c>
      <c r="AC118">
        <f>NORMDIST($A$118,0,$B$7,FALSE())*(NORMDIST((K61-$A$118)/K18,0,1,TRUE())-NORMDIST((-K61-$A$118)/K18,0,1,TRUE()))</f>
        <v>0.30594346252397192</v>
      </c>
      <c r="AD118">
        <f>NORMDIST($A$118,0,$B$7,FALSE())*(NORMDIST((L26-$A$118)/L18,0,1,TRUE())-NORMDIST((-L26-$A$118)/L18,0,1,TRUE()))</f>
        <v>0.3059434624754403</v>
      </c>
      <c r="AE118">
        <f>NORMDIST($A$118,0,$B$7,FALSE())*(NORMDIST((L61-$A$118)/L18,0,1,TRUE())-NORMDIST((-L61-$A$118)/L18,0,1,TRUE()))</f>
        <v>0.30594346254021654</v>
      </c>
      <c r="AF118">
        <f t="shared" ref="AF118:AK118" si="94">NORMDIST($A$118,0,$B$7,FALSE())*(NORMDIST((C216-$A$118)/C18,0,1,TRUE())-NORMDIST((-C216-$A$118)/C18,0,1,TRUE()))</f>
        <v>0.30567606448616164</v>
      </c>
      <c r="AG118">
        <f t="shared" si="94"/>
        <v>0.30594336159244451</v>
      </c>
      <c r="AH118">
        <f t="shared" si="94"/>
        <v>0.30594345565926295</v>
      </c>
      <c r="AI118">
        <f t="shared" si="94"/>
        <v>0.30594346254021654</v>
      </c>
      <c r="AJ118">
        <f t="shared" si="94"/>
        <v>0.30594346254021659</v>
      </c>
      <c r="AK118">
        <f t="shared" si="94"/>
        <v>0.30567606448616164</v>
      </c>
      <c r="AL118">
        <f>NORMDIST($A$118,0,$B$7,FALSE())*(NORMDIST((J216-$A$118)/J18,0,1,TRUE())-NORMDIST((-J216-$A$118)/J18,0,1,TRUE()))</f>
        <v>0.30594333221733916</v>
      </c>
      <c r="AM118">
        <f>NORMDIST($A$118,0,$B$7,FALSE())*(NORMDIST((K216-$A$118)/K18,0,1,TRUE())-NORMDIST((-K216-$A$118)/K18,0,1,TRUE()))</f>
        <v>0.30594346253220894</v>
      </c>
      <c r="AN118">
        <f>NORMDIST($A$118,0,$B$7,FALSE())*(NORMDIST((L216-$A$118)/L18,0,1,TRUE())-NORMDIST((-L216-$A$118)/L18,0,1,TRUE()))</f>
        <v>0.30594346254021654</v>
      </c>
      <c r="AO118">
        <f t="shared" ref="AO118:AT118" si="95">NORMDIST($A$118,0,$B$7,FALSE())*(NORMDIST(($B$5-$A$118)/C18,0,1,TRUE())-NORMDIST((-$B$5-$A$118)/C18,0,1,TRUE()))</f>
        <v>0.30578545330353935</v>
      </c>
      <c r="AP118">
        <f t="shared" si="95"/>
        <v>0.30594336159244451</v>
      </c>
      <c r="AQ118">
        <f t="shared" si="95"/>
        <v>0.30594345565926295</v>
      </c>
      <c r="AR118">
        <f t="shared" si="95"/>
        <v>0.30594346254021654</v>
      </c>
      <c r="AS118">
        <f t="shared" si="95"/>
        <v>0.30594346254021659</v>
      </c>
      <c r="AT118">
        <f t="shared" si="95"/>
        <v>0.30578545330353935</v>
      </c>
    </row>
    <row r="119" spans="1:46" ht="15" customHeight="1" x14ac:dyDescent="0.25">
      <c r="A119">
        <f>A102+17*2*$B$5/39</f>
        <v>-0.25641025641025639</v>
      </c>
      <c r="N119">
        <f>NORMDIST($A$119,0,$B$7,FALSE())*(NORMDIST((C26-$A$119)/C18,0,1,TRUE())-NORMDIST((-C26-$A$119)/C18,0,1,TRUE()))</f>
        <v>0.29072481358700469</v>
      </c>
      <c r="O119">
        <f>NORMDIST($A$119,0,$B$7,FALSE())*(NORMDIST((C61-$A$119)/C18,0,1,TRUE())-NORMDIST((-C61-$A$119)/C18,0,1,TRUE()))</f>
        <v>0.31161947506312099</v>
      </c>
      <c r="P119">
        <f>NORMDIST($A$119,0,$B$7,FALSE())*(NORMDIST((D26-$A$119)/D18,0,1,TRUE())-NORMDIST((-D26-$A$119)/D18,0,1,TRUE()))</f>
        <v>0.3120323986159157</v>
      </c>
      <c r="Q119">
        <f>NORMDIST($A$119,0,$B$7,FALSE())*(NORMDIST((D61-$A$119)/D18,0,1,TRUE())-NORMDIST((-D61-$A$119)/D18,0,1,TRUE()))</f>
        <v>0.31217116744899165</v>
      </c>
      <c r="R119">
        <f>NORMDIST($A$119,0,$B$7,FALSE())*(NORMDIST((E26-$A$119)/E18,0,1,TRUE())-NORMDIST((-E26-$A$119)/E18,0,1,TRUE()))</f>
        <v>0.31215297357888949</v>
      </c>
      <c r="S119">
        <f>NORMDIST($A$119,0,$B$7,FALSE())*(NORMDIST((E61-$A$119)/E18,0,1,TRUE())-NORMDIST((-E61-$A$119)/E18,0,1,TRUE()))</f>
        <v>0.312171262944127</v>
      </c>
      <c r="T119">
        <f>NORMDIST($A$119,0,$B$7,FALSE())*(NORMDIST((F26-$A$119)/F18,0,1,TRUE())-NORMDIST((-F26-$A$119)/F18,0,1,TRUE()))</f>
        <v>0.31217126683662666</v>
      </c>
      <c r="U119">
        <f>NORMDIST($A$119,0,$B$7,FALSE())*(NORMDIST((F61-$A$119)/F18,0,1,TRUE())-NORMDIST((-F61-$A$119)/F18,0,1,TRUE()))</f>
        <v>0.31217126683881125</v>
      </c>
      <c r="V119">
        <f>NORMDIST($A$119,0,$B$7,FALSE())*(NORMDIST((G26-$A$119)/G18,0,1,TRUE())-NORMDIST((-G26-$A$119)/G18,0,1,TRUE()))</f>
        <v>0.31217126683881125</v>
      </c>
      <c r="W119">
        <f>NORMDIST($A$119,0,$B$7,FALSE())*(NORMDIST((G61-$A$119)/G18,0,1,TRUE())-NORMDIST((-G61-$A$119)/G18,0,1,TRUE()))</f>
        <v>0.31217126683881125</v>
      </c>
      <c r="X119">
        <f>NORMDIST($A$119,0,$B$7,FALSE())*(NORMDIST((H26-$A$119)/H18,0,1,TRUE())-NORMDIST((-H26-$A$119)/H18,0,1,TRUE()))</f>
        <v>0.29072481358700469</v>
      </c>
      <c r="Y119">
        <f>NORMDIST($A$119,0,$B$7,FALSE())*(NORMDIST((H61-$A$119)/H18,0,1,TRUE())-NORMDIST((-H61-$A$119)/H18,0,1,TRUE()))</f>
        <v>0.31161947506312099</v>
      </c>
      <c r="Z119">
        <f>NORMDIST($A$119,0,$B$7,FALSE())*(NORMDIST((J26-$A$119)/J18,0,1,TRUE())-NORMDIST((-J26-$A$119)/J18,0,1,TRUE()))</f>
        <v>0.31200362008850163</v>
      </c>
      <c r="AA119">
        <f>NORMDIST($A$119,0,$B$7,FALSE())*(NORMDIST((J61-$A$119)/J18,0,1,TRUE())-NORMDIST((-J61-$A$119)/J18,0,1,TRUE()))</f>
        <v>0.31217113183077649</v>
      </c>
      <c r="AB119">
        <f>NORMDIST($A$119,0,$B$7,FALSE())*(NORMDIST((K26-$A$119)/K18,0,1,TRUE())-NORMDIST((-K26-$A$119)/K18,0,1,TRUE()))</f>
        <v>0.31217118378451747</v>
      </c>
      <c r="AC119">
        <f>NORMDIST($A$119,0,$B$7,FALSE())*(NORMDIST((K61-$A$119)/K18,0,1,TRUE())-NORMDIST((-K61-$A$119)/K18,0,1,TRUE()))</f>
        <v>0.31217126683779584</v>
      </c>
      <c r="AD119">
        <f>NORMDIST($A$119,0,$B$7,FALSE())*(NORMDIST((L26-$A$119)/L18,0,1,TRUE())-NORMDIST((-L26-$A$119)/L18,0,1,TRUE()))</f>
        <v>0.31217126683662666</v>
      </c>
      <c r="AE119">
        <f>NORMDIST($A$119,0,$B$7,FALSE())*(NORMDIST((L61-$A$119)/L18,0,1,TRUE())-NORMDIST((-L61-$A$119)/L18,0,1,TRUE()))</f>
        <v>0.31217126683881125</v>
      </c>
      <c r="AF119">
        <f t="shared" ref="AF119:AK119" si="96">NORMDIST($A$119,0,$B$7,FALSE())*(NORMDIST((C216-$A$119)/C18,0,1,TRUE())-NORMDIST((-C216-$A$119)/C18,0,1,TRUE()))</f>
        <v>0.3120365745044249</v>
      </c>
      <c r="AG119">
        <f t="shared" si="96"/>
        <v>0.31217124706680943</v>
      </c>
      <c r="AH119">
        <f t="shared" si="96"/>
        <v>0.31217126587507621</v>
      </c>
      <c r="AI119">
        <f t="shared" si="96"/>
        <v>0.31217126683881125</v>
      </c>
      <c r="AJ119">
        <f t="shared" si="96"/>
        <v>0.31217126683881125</v>
      </c>
      <c r="AK119">
        <f t="shared" si="96"/>
        <v>0.3120365745044249</v>
      </c>
      <c r="AL119">
        <f>NORMDIST($A$119,0,$B$7,FALSE())*(NORMDIST((J216-$A$119)/J18,0,1,TRUE())-NORMDIST((-J216-$A$119)/J18,0,1,TRUE()))</f>
        <v>0.31217124048857858</v>
      </c>
      <c r="AM119">
        <f>NORMDIST($A$119,0,$B$7,FALSE())*(NORMDIST((K216-$A$119)/K18,0,1,TRUE())-NORMDIST((-K216-$A$119)/K18,0,1,TRUE()))</f>
        <v>0.31217126683833163</v>
      </c>
      <c r="AN119">
        <f>NORMDIST($A$119,0,$B$7,FALSE())*(NORMDIST((L216-$A$119)/L18,0,1,TRUE())-NORMDIST((-L216-$A$119)/L18,0,1,TRUE()))</f>
        <v>0.31217126683881125</v>
      </c>
      <c r="AO119">
        <f t="shared" ref="AO119:AT119" si="97">NORMDIST($A$119,0,$B$7,FALSE())*(NORMDIST(($B$5-$A$119)/C18,0,1,TRUE())-NORMDIST((-$B$5-$A$119)/C18,0,1,TRUE()))</f>
        <v>0.31209407613265655</v>
      </c>
      <c r="AP119">
        <f t="shared" si="97"/>
        <v>0.31217124706680943</v>
      </c>
      <c r="AQ119">
        <f t="shared" si="97"/>
        <v>0.31217126587507621</v>
      </c>
      <c r="AR119">
        <f t="shared" si="97"/>
        <v>0.31217126683881125</v>
      </c>
      <c r="AS119">
        <f t="shared" si="97"/>
        <v>0.31217126683881125</v>
      </c>
      <c r="AT119">
        <f t="shared" si="97"/>
        <v>0.31209407613265655</v>
      </c>
    </row>
    <row r="120" spans="1:46" ht="15" customHeight="1" x14ac:dyDescent="0.25">
      <c r="A120">
        <f>A102+18*2*$B$5/39</f>
        <v>-0.15384615384615374</v>
      </c>
      <c r="N120">
        <f>NORMDIST($A$120,0,$B$7,FALSE())*(NORMDIST((C26-$A$120)/C18,0,1,TRUE())-NORMDIST((-C26-$A$120)/C18,0,1,TRUE()))</f>
        <v>0.30024011458161215</v>
      </c>
      <c r="O120">
        <f>NORMDIST($A$120,0,$B$7,FALSE())*(NORMDIST((C61-$A$120)/C18,0,1,TRUE())-NORMDIST((-C61-$A$120)/C18,0,1,TRUE()))</f>
        <v>0.31608733757753121</v>
      </c>
      <c r="P120">
        <f>NORMDIST($A$120,0,$B$7,FALSE())*(NORMDIST((D26-$A$120)/D18,0,1,TRUE())-NORMDIST((-D26-$A$120)/D18,0,1,TRUE()))</f>
        <v>0.31634854737942464</v>
      </c>
      <c r="Q120">
        <f>NORMDIST($A$120,0,$B$7,FALSE())*(NORMDIST((D61-$A$120)/D18,0,1,TRUE())-NORMDIST((-D61-$A$120)/D18,0,1,TRUE()))</f>
        <v>0.31639338853841165</v>
      </c>
      <c r="R120">
        <f>NORMDIST($A$120,0,$B$7,FALSE())*(NORMDIST((E26-$A$120)/E18,0,1,TRUE())-NORMDIST((-E26-$A$120)/E18,0,1,TRUE()))</f>
        <v>0.3163890407585912</v>
      </c>
      <c r="S120">
        <f>NORMDIST($A$120,0,$B$7,FALSE())*(NORMDIST((E61-$A$120)/E18,0,1,TRUE())-NORMDIST((-E61-$A$120)/E18,0,1,TRUE()))</f>
        <v>0.31639340738457961</v>
      </c>
      <c r="T120">
        <f>NORMDIST($A$120,0,$B$7,FALSE())*(NORMDIST((F26-$A$120)/F18,0,1,TRUE())-NORMDIST((-F26-$A$120)/F18,0,1,TRUE()))</f>
        <v>0.31639340790860399</v>
      </c>
      <c r="U120">
        <f>NORMDIST($A$120,0,$B$7,FALSE())*(NORMDIST((F61-$A$120)/F18,0,1,TRUE())-NORMDIST((-F61-$A$120)/F18,0,1,TRUE()))</f>
        <v>0.31639340790866055</v>
      </c>
      <c r="V120">
        <f>NORMDIST($A$120,0,$B$7,FALSE())*(NORMDIST((G26-$A$120)/G18,0,1,TRUE())-NORMDIST((-G26-$A$120)/G18,0,1,TRUE()))</f>
        <v>0.31639340790866055</v>
      </c>
      <c r="W120">
        <f>NORMDIST($A$120,0,$B$7,FALSE())*(NORMDIST((G61-$A$120)/G18,0,1,TRUE())-NORMDIST((-G61-$A$120)/G18,0,1,TRUE()))</f>
        <v>0.31639340790866055</v>
      </c>
      <c r="X120">
        <f>NORMDIST($A$120,0,$B$7,FALSE())*(NORMDIST((H26-$A$120)/H18,0,1,TRUE())-NORMDIST((-H26-$A$120)/H18,0,1,TRUE()))</f>
        <v>0.30024011458161215</v>
      </c>
      <c r="Y120">
        <f>NORMDIST($A$120,0,$B$7,FALSE())*(NORMDIST((H61-$A$120)/H18,0,1,TRUE())-NORMDIST((-H61-$A$120)/H18,0,1,TRUE()))</f>
        <v>0.31608733757753121</v>
      </c>
      <c r="Z120">
        <f>NORMDIST($A$120,0,$B$7,FALSE())*(NORMDIST((J26-$A$120)/J18,0,1,TRUE())-NORMDIST((-J26-$A$120)/J18,0,1,TRUE()))</f>
        <v>0.3163376642859137</v>
      </c>
      <c r="AA120">
        <f>NORMDIST($A$120,0,$B$7,FALSE())*(NORMDIST((J61-$A$120)/J18,0,1,TRUE())-NORMDIST((-J61-$A$120)/J18,0,1,TRUE()))</f>
        <v>0.31639338065355505</v>
      </c>
      <c r="AB120">
        <f>NORMDIST($A$120,0,$B$7,FALSE())*(NORMDIST((K26-$A$120)/K18,0,1,TRUE())-NORMDIST((-K26-$A$120)/K18,0,1,TRUE()))</f>
        <v>0.31639339871621097</v>
      </c>
      <c r="AC120">
        <f>NORMDIST($A$120,0,$B$7,FALSE())*(NORMDIST((K61-$A$120)/K18,0,1,TRUE())-NORMDIST((-K61-$A$120)/K18,0,1,TRUE()))</f>
        <v>0.31639340790860709</v>
      </c>
      <c r="AD120">
        <f>NORMDIST($A$120,0,$B$7,FALSE())*(NORMDIST((L26-$A$120)/L18,0,1,TRUE())-NORMDIST((-L26-$A$120)/L18,0,1,TRUE()))</f>
        <v>0.31639340790860399</v>
      </c>
      <c r="AE120">
        <f>NORMDIST($A$120,0,$B$7,FALSE())*(NORMDIST((L61-$A$120)/L18,0,1,TRUE())-NORMDIST((-L61-$A$120)/L18,0,1,TRUE()))</f>
        <v>0.31639340790866055</v>
      </c>
      <c r="AF120">
        <f t="shared" ref="AF120:AK120" si="98">NORMDIST($A$120,0,$B$7,FALSE())*(NORMDIST((C216-$A$120)/C18,0,1,TRUE())-NORMDIST((-C216-$A$120)/C18,0,1,TRUE()))</f>
        <v>0.31632525897074049</v>
      </c>
      <c r="AG120">
        <f t="shared" si="98"/>
        <v>0.31639340439589081</v>
      </c>
      <c r="AH120">
        <f t="shared" si="98"/>
        <v>0.31639340778891195</v>
      </c>
      <c r="AI120">
        <f t="shared" si="98"/>
        <v>0.31639340790866055</v>
      </c>
      <c r="AJ120">
        <f t="shared" si="98"/>
        <v>0.31639340790866055</v>
      </c>
      <c r="AK120">
        <f t="shared" si="98"/>
        <v>0.31632525897074049</v>
      </c>
      <c r="AL120">
        <f>NORMDIST($A$120,0,$B$7,FALSE())*(NORMDIST((J216-$A$120)/J18,0,1,TRUE())-NORMDIST((-J216-$A$120)/J18,0,1,TRUE()))</f>
        <v>0.31639340306504643</v>
      </c>
      <c r="AM120">
        <f>NORMDIST($A$120,0,$B$7,FALSE())*(NORMDIST((K216-$A$120)/K18,0,1,TRUE())-NORMDIST((-K216-$A$120)/K18,0,1,TRUE()))</f>
        <v>0.31639340790863635</v>
      </c>
      <c r="AN120">
        <f>NORMDIST($A$120,0,$B$7,FALSE())*(NORMDIST((L216-$A$120)/L18,0,1,TRUE())-NORMDIST((-L216-$A$120)/L18,0,1,TRUE()))</f>
        <v>0.31639340790866055</v>
      </c>
      <c r="AO120">
        <f t="shared" ref="AO120:AT120" si="99">NORMDIST($A$120,0,$B$7,FALSE())*(NORMDIST(($B$5-$A$120)/C18,0,1,TRUE())-NORMDIST((-$B$5-$A$120)/C18,0,1,TRUE()))</f>
        <v>0.31635564239495517</v>
      </c>
      <c r="AP120">
        <f t="shared" si="99"/>
        <v>0.31639340439589081</v>
      </c>
      <c r="AQ120">
        <f t="shared" si="99"/>
        <v>0.31639340778891195</v>
      </c>
      <c r="AR120">
        <f t="shared" si="99"/>
        <v>0.31639340790866055</v>
      </c>
      <c r="AS120">
        <f t="shared" si="99"/>
        <v>0.31639340790866055</v>
      </c>
      <c r="AT120">
        <f t="shared" si="99"/>
        <v>0.31635564239495517</v>
      </c>
    </row>
    <row r="121" spans="1:46" ht="15" customHeight="1" x14ac:dyDescent="0.25">
      <c r="A121">
        <f>A102+19*2*$B$5/39</f>
        <v>-5.1282051282051322E-2</v>
      </c>
      <c r="N121">
        <f>NORMDIST($A$121,0,$B$7,FALSE())*(NORMDIST((C26-$A$121)/C18,0,1,TRUE())-NORMDIST((-C26-$A$121)/C18,0,1,TRUE()))</f>
        <v>0.30501394678954274</v>
      </c>
      <c r="O121">
        <f>NORMDIST($A$121,0,$B$7,FALSE())*(NORMDIST((C61-$A$121)/C18,0,1,TRUE())-NORMDIST((-C61-$A$121)/C18,0,1,TRUE()))</f>
        <v>0.31832567518876004</v>
      </c>
      <c r="P121">
        <f>NORMDIST($A$121,0,$B$7,FALSE())*(NORMDIST((D26-$A$121)/D18,0,1,TRUE())-NORMDIST((-D26-$A$121)/D18,0,1,TRUE()))</f>
        <v>0.31850983201522376</v>
      </c>
      <c r="Q121">
        <f>NORMDIST($A$121,0,$B$7,FALSE())*(NORMDIST((D61-$A$121)/D18,0,1,TRUE())-NORMDIST((-D61-$A$121)/D18,0,1,TRUE()))</f>
        <v>0.31852584078667606</v>
      </c>
      <c r="R121">
        <f>NORMDIST($A$121,0,$B$7,FALSE())*(NORMDIST((E26-$A$121)/E18,0,1,TRUE())-NORMDIST((-E26-$A$121)/E18,0,1,TRUE()))</f>
        <v>0.31852475943710556</v>
      </c>
      <c r="S121">
        <f>NORMDIST($A$121,0,$B$7,FALSE())*(NORMDIST((E61-$A$121)/E18,0,1,TRUE())-NORMDIST((-E61-$A$121)/E18,0,1,TRUE()))</f>
        <v>0.31852584464310035</v>
      </c>
      <c r="T121">
        <f>NORMDIST($A$121,0,$B$7,FALSE())*(NORMDIST((F26-$A$121)/F18,0,1,TRUE())-NORMDIST((-F26-$A$121)/F18,0,1,TRUE()))</f>
        <v>0.3185258447120371</v>
      </c>
      <c r="U121">
        <f>NORMDIST($A$121,0,$B$7,FALSE())*(NORMDIST((F61-$A$121)/F18,0,1,TRUE())-NORMDIST((-F61-$A$121)/F18,0,1,TRUE()))</f>
        <v>0.31852584471203821</v>
      </c>
      <c r="V121">
        <f>NORMDIST($A$121,0,$B$7,FALSE())*(NORMDIST((G26-$A$121)/G18,0,1,TRUE())-NORMDIST((-G26-$A$121)/G18,0,1,TRUE()))</f>
        <v>0.31852584471203821</v>
      </c>
      <c r="W121">
        <f>NORMDIST($A$121,0,$B$7,FALSE())*(NORMDIST((G61-$A$121)/G18,0,1,TRUE())-NORMDIST((-G61-$A$121)/G18,0,1,TRUE()))</f>
        <v>0.31852584471203821</v>
      </c>
      <c r="X121">
        <f>NORMDIST($A$121,0,$B$7,FALSE())*(NORMDIST((H26-$A$121)/H18,0,1,TRUE())-NORMDIST((-H26-$A$121)/H18,0,1,TRUE()))</f>
        <v>0.30501394678954274</v>
      </c>
      <c r="Y121">
        <f>NORMDIST($A$121,0,$B$7,FALSE())*(NORMDIST((H61-$A$121)/H18,0,1,TRUE())-NORMDIST((-H61-$A$121)/H18,0,1,TRUE()))</f>
        <v>0.31832567518876004</v>
      </c>
      <c r="Z121">
        <f>NORMDIST($A$121,0,$B$7,FALSE())*(NORMDIST((J26-$A$121)/J18,0,1,TRUE())-NORMDIST((-J26-$A$121)/J18,0,1,TRUE()))</f>
        <v>0.31850525657435197</v>
      </c>
      <c r="AA121">
        <f>NORMDIST($A$121,0,$B$7,FALSE())*(NORMDIST((J61-$A$121)/J18,0,1,TRUE())-NORMDIST((-J61-$A$121)/J18,0,1,TRUE()))</f>
        <v>0.3185258389544347</v>
      </c>
      <c r="AB121">
        <f>NORMDIST($A$121,0,$B$7,FALSE())*(NORMDIST((K26-$A$121)/K18,0,1,TRUE())-NORMDIST((-K26-$A$121)/K18,0,1,TRUE()))</f>
        <v>0.31852584378725463</v>
      </c>
      <c r="AC121">
        <f>NORMDIST($A$121,0,$B$7,FALSE())*(NORMDIST((K61-$A$121)/K18,0,1,TRUE())-NORMDIST((-K61-$A$121)/K18,0,1,TRUE()))</f>
        <v>0.31852584471203577</v>
      </c>
      <c r="AD121">
        <f>NORMDIST($A$121,0,$B$7,FALSE())*(NORMDIST((L26-$A$121)/L18,0,1,TRUE())-NORMDIST((-L26-$A$121)/L18,0,1,TRUE()))</f>
        <v>0.3185258447120371</v>
      </c>
      <c r="AE121">
        <f>NORMDIST($A$121,0,$B$7,FALSE())*(NORMDIST((L61-$A$121)/L18,0,1,TRUE())-NORMDIST((-L61-$A$121)/L18,0,1,TRUE()))</f>
        <v>0.31852584471203821</v>
      </c>
      <c r="AF121">
        <f t="shared" ref="AF121:AK121" si="100">NORMDIST($A$121,0,$B$7,FALSE())*(NORMDIST((C216-$A$121)/C18,0,1,TRUE())-NORMDIST((-C216-$A$121)/C18,0,1,TRUE()))</f>
        <v>0.31848487812077991</v>
      </c>
      <c r="AG121">
        <f t="shared" si="100"/>
        <v>0.31852584406988477</v>
      </c>
      <c r="AH121">
        <f t="shared" si="100"/>
        <v>0.31852584469759526</v>
      </c>
      <c r="AI121">
        <f t="shared" si="100"/>
        <v>0.31852584471203821</v>
      </c>
      <c r="AJ121">
        <f t="shared" si="100"/>
        <v>0.31852584471203821</v>
      </c>
      <c r="AK121">
        <f t="shared" si="100"/>
        <v>0.31848487812077991</v>
      </c>
      <c r="AL121">
        <f>NORMDIST($A$121,0,$B$7,FALSE())*(NORMDIST((J216-$A$121)/J18,0,1,TRUE())-NORMDIST((-J216-$A$121)/J18,0,1,TRUE()))</f>
        <v>0.31852584379039189</v>
      </c>
      <c r="AM121">
        <f>NORMDIST($A$121,0,$B$7,FALSE())*(NORMDIST((K216-$A$121)/K18,0,1,TRUE())-NORMDIST((-K216-$A$121)/K18,0,1,TRUE()))</f>
        <v>0.31852584471203715</v>
      </c>
      <c r="AN121">
        <f>NORMDIST($A$121,0,$B$7,FALSE())*(NORMDIST((L216-$A$121)/L18,0,1,TRUE())-NORMDIST((-L216-$A$121)/L18,0,1,TRUE()))</f>
        <v>0.31852584471203821</v>
      </c>
      <c r="AO121">
        <f t="shared" ref="AO121:AT121" si="101">NORMDIST($A$121,0,$B$7,FALSE())*(NORMDIST(($B$5-$A$121)/C18,0,1,TRUE())-NORMDIST((-$B$5-$A$121)/C18,0,1,TRUE()))</f>
        <v>0.31850385429234074</v>
      </c>
      <c r="AP121">
        <f t="shared" si="101"/>
        <v>0.31852584406988477</v>
      </c>
      <c r="AQ121">
        <f t="shared" si="101"/>
        <v>0.31852584469759526</v>
      </c>
      <c r="AR121">
        <f t="shared" si="101"/>
        <v>0.31852584471203821</v>
      </c>
      <c r="AS121">
        <f t="shared" si="101"/>
        <v>0.31852584471203821</v>
      </c>
      <c r="AT121">
        <f t="shared" si="101"/>
        <v>0.31850385429234074</v>
      </c>
    </row>
    <row r="122" spans="1:46" ht="15" customHeight="1" x14ac:dyDescent="0.25">
      <c r="A122">
        <f>A102+20*2*$B$5/39</f>
        <v>5.12820512820511E-2</v>
      </c>
      <c r="N122">
        <f>NORMDIST($A$122,0,$B$7,FALSE())*(NORMDIST((C26-$A$122)/C18,0,1,TRUE())-NORMDIST((-C26-$A$122)/C18,0,1,TRUE()))</f>
        <v>0.3050139467895428</v>
      </c>
      <c r="O122">
        <f>NORMDIST($A$122,0,$B$7,FALSE())*(NORMDIST((C61-$A$122)/C18,0,1,TRUE())-NORMDIST((-C61-$A$122)/C18,0,1,TRUE()))</f>
        <v>0.31832567518876004</v>
      </c>
      <c r="P122">
        <f>NORMDIST($A$122,0,$B$7,FALSE())*(NORMDIST((D26-$A$122)/D18,0,1,TRUE())-NORMDIST((-D26-$A$122)/D18,0,1,TRUE()))</f>
        <v>0.31850983201522376</v>
      </c>
      <c r="Q122">
        <f>NORMDIST($A$122,0,$B$7,FALSE())*(NORMDIST((D61-$A$122)/D18,0,1,TRUE())-NORMDIST((-D61-$A$122)/D18,0,1,TRUE()))</f>
        <v>0.31852584078667606</v>
      </c>
      <c r="R122">
        <f>NORMDIST($A$122,0,$B$7,FALSE())*(NORMDIST((E26-$A$122)/E18,0,1,TRUE())-NORMDIST((-E26-$A$122)/E18,0,1,TRUE()))</f>
        <v>0.31852475943710556</v>
      </c>
      <c r="S122">
        <f>NORMDIST($A$122,0,$B$7,FALSE())*(NORMDIST((E61-$A$122)/E18,0,1,TRUE())-NORMDIST((-E61-$A$122)/E18,0,1,TRUE()))</f>
        <v>0.31852584464310035</v>
      </c>
      <c r="T122">
        <f>NORMDIST($A$122,0,$B$7,FALSE())*(NORMDIST((F26-$A$122)/F18,0,1,TRUE())-NORMDIST((-F26-$A$122)/F18,0,1,TRUE()))</f>
        <v>0.3185258447120371</v>
      </c>
      <c r="U122">
        <f>NORMDIST($A$122,0,$B$7,FALSE())*(NORMDIST((F61-$A$122)/F18,0,1,TRUE())-NORMDIST((-F61-$A$122)/F18,0,1,TRUE()))</f>
        <v>0.31852584471203821</v>
      </c>
      <c r="V122">
        <f>NORMDIST($A$122,0,$B$7,FALSE())*(NORMDIST((G26-$A$122)/G18,0,1,TRUE())-NORMDIST((-G26-$A$122)/G18,0,1,TRUE()))</f>
        <v>0.31852584471203821</v>
      </c>
      <c r="W122">
        <f>NORMDIST($A$122,0,$B$7,FALSE())*(NORMDIST((G61-$A$122)/G18,0,1,TRUE())-NORMDIST((-G61-$A$122)/G18,0,1,TRUE()))</f>
        <v>0.31852584471203821</v>
      </c>
      <c r="X122">
        <f>NORMDIST($A$122,0,$B$7,FALSE())*(NORMDIST((H26-$A$122)/H18,0,1,TRUE())-NORMDIST((-H26-$A$122)/H18,0,1,TRUE()))</f>
        <v>0.3050139467895428</v>
      </c>
      <c r="Y122">
        <f>NORMDIST($A$122,0,$B$7,FALSE())*(NORMDIST((H61-$A$122)/H18,0,1,TRUE())-NORMDIST((-H61-$A$122)/H18,0,1,TRUE()))</f>
        <v>0.31832567518876004</v>
      </c>
      <c r="Z122">
        <f>NORMDIST($A$122,0,$B$7,FALSE())*(NORMDIST((J26-$A$122)/J18,0,1,TRUE())-NORMDIST((-J26-$A$122)/J18,0,1,TRUE()))</f>
        <v>0.31850525657435197</v>
      </c>
      <c r="AA122">
        <f>NORMDIST($A$122,0,$B$7,FALSE())*(NORMDIST((J61-$A$122)/J18,0,1,TRUE())-NORMDIST((-J61-$A$122)/J18,0,1,TRUE()))</f>
        <v>0.3185258389544347</v>
      </c>
      <c r="AB122">
        <f>NORMDIST($A$122,0,$B$7,FALSE())*(NORMDIST((K26-$A$122)/K18,0,1,TRUE())-NORMDIST((-K26-$A$122)/K18,0,1,TRUE()))</f>
        <v>0.31852584378725463</v>
      </c>
      <c r="AC122">
        <f>NORMDIST($A$122,0,$B$7,FALSE())*(NORMDIST((K61-$A$122)/K18,0,1,TRUE())-NORMDIST((-K61-$A$122)/K18,0,1,TRUE()))</f>
        <v>0.31852584471203577</v>
      </c>
      <c r="AD122">
        <f>NORMDIST($A$122,0,$B$7,FALSE())*(NORMDIST((L26-$A$122)/L18,0,1,TRUE())-NORMDIST((-L26-$A$122)/L18,0,1,TRUE()))</f>
        <v>0.3185258447120371</v>
      </c>
      <c r="AE122">
        <f>NORMDIST($A$122,0,$B$7,FALSE())*(NORMDIST((L61-$A$122)/L18,0,1,TRUE())-NORMDIST((-L61-$A$122)/L18,0,1,TRUE()))</f>
        <v>0.31852584471203821</v>
      </c>
      <c r="AF122">
        <f t="shared" ref="AF122:AK122" si="102">NORMDIST($A$122,0,$B$7,FALSE())*(NORMDIST((C216-$A$122)/C18,0,1,TRUE())-NORMDIST((-C216-$A$122)/C18,0,1,TRUE()))</f>
        <v>0.31848487812077991</v>
      </c>
      <c r="AG122">
        <f t="shared" si="102"/>
        <v>0.31852584406988477</v>
      </c>
      <c r="AH122">
        <f t="shared" si="102"/>
        <v>0.31852584469759526</v>
      </c>
      <c r="AI122">
        <f t="shared" si="102"/>
        <v>0.31852584471203821</v>
      </c>
      <c r="AJ122">
        <f t="shared" si="102"/>
        <v>0.31852584471203821</v>
      </c>
      <c r="AK122">
        <f t="shared" si="102"/>
        <v>0.31848487812077991</v>
      </c>
      <c r="AL122">
        <f>NORMDIST($A$122,0,$B$7,FALSE())*(NORMDIST((J216-$A$122)/J18,0,1,TRUE())-NORMDIST((-J216-$A$122)/J18,0,1,TRUE()))</f>
        <v>0.31852584379039189</v>
      </c>
      <c r="AM122">
        <f>NORMDIST($A$122,0,$B$7,FALSE())*(NORMDIST((K216-$A$122)/K18,0,1,TRUE())-NORMDIST((-K216-$A$122)/K18,0,1,TRUE()))</f>
        <v>0.31852584471203715</v>
      </c>
      <c r="AN122">
        <f>NORMDIST($A$122,0,$B$7,FALSE())*(NORMDIST((L216-$A$122)/L18,0,1,TRUE())-NORMDIST((-L216-$A$122)/L18,0,1,TRUE()))</f>
        <v>0.31852584471203821</v>
      </c>
      <c r="AO122">
        <f t="shared" ref="AO122:AT122" si="103">NORMDIST($A$122,0,$B$7,FALSE())*(NORMDIST(($B$5-$A$122)/C18,0,1,TRUE())-NORMDIST((-$B$5-$A$122)/C18,0,1,TRUE()))</f>
        <v>0.31850385429234074</v>
      </c>
      <c r="AP122">
        <f t="shared" si="103"/>
        <v>0.31852584406988477</v>
      </c>
      <c r="AQ122">
        <f t="shared" si="103"/>
        <v>0.31852584469759526</v>
      </c>
      <c r="AR122">
        <f t="shared" si="103"/>
        <v>0.31852584471203821</v>
      </c>
      <c r="AS122">
        <f t="shared" si="103"/>
        <v>0.31852584471203821</v>
      </c>
      <c r="AT122">
        <f t="shared" si="103"/>
        <v>0.31850385429234074</v>
      </c>
    </row>
    <row r="123" spans="1:46" ht="15" customHeight="1" x14ac:dyDescent="0.25">
      <c r="A123">
        <f>A102+21*2*$B$5/39</f>
        <v>0.15384615384615374</v>
      </c>
      <c r="N123">
        <f>NORMDIST($A$123,0,$B$7,FALSE())*(NORMDIST((C26-$A$123)/C18,0,1,TRUE())-NORMDIST((-C26-$A$123)/C18,0,1,TRUE()))</f>
        <v>0.30024011458161215</v>
      </c>
      <c r="O123">
        <f>NORMDIST($A$123,0,$B$7,FALSE())*(NORMDIST((C61-$A$123)/C18,0,1,TRUE())-NORMDIST((-C61-$A$123)/C18,0,1,TRUE()))</f>
        <v>0.31608733757753121</v>
      </c>
      <c r="P123">
        <f>NORMDIST($A$123,0,$B$7,FALSE())*(NORMDIST((D26-$A$123)/D18,0,1,TRUE())-NORMDIST((-D26-$A$123)/D18,0,1,TRUE()))</f>
        <v>0.31634854737942464</v>
      </c>
      <c r="Q123">
        <f>NORMDIST($A$123,0,$B$7,FALSE())*(NORMDIST((D61-$A$123)/D18,0,1,TRUE())-NORMDIST((-D61-$A$123)/D18,0,1,TRUE()))</f>
        <v>0.31639338853841165</v>
      </c>
      <c r="R123">
        <f>NORMDIST($A$123,0,$B$7,FALSE())*(NORMDIST((E26-$A$123)/E18,0,1,TRUE())-NORMDIST((-E26-$A$123)/E18,0,1,TRUE()))</f>
        <v>0.3163890407585912</v>
      </c>
      <c r="S123">
        <f>NORMDIST($A$123,0,$B$7,FALSE())*(NORMDIST((E61-$A$123)/E18,0,1,TRUE())-NORMDIST((-E61-$A$123)/E18,0,1,TRUE()))</f>
        <v>0.31639340738457961</v>
      </c>
      <c r="T123">
        <f>NORMDIST($A$123,0,$B$7,FALSE())*(NORMDIST((F26-$A$123)/F18,0,1,TRUE())-NORMDIST((-F26-$A$123)/F18,0,1,TRUE()))</f>
        <v>0.31639340790860399</v>
      </c>
      <c r="U123">
        <f>NORMDIST($A$123,0,$B$7,FALSE())*(NORMDIST((F61-$A$123)/F18,0,1,TRUE())-NORMDIST((-F61-$A$123)/F18,0,1,TRUE()))</f>
        <v>0.31639340790866055</v>
      </c>
      <c r="V123">
        <f>NORMDIST($A$123,0,$B$7,FALSE())*(NORMDIST((G26-$A$123)/G18,0,1,TRUE())-NORMDIST((-G26-$A$123)/G18,0,1,TRUE()))</f>
        <v>0.31639340790866055</v>
      </c>
      <c r="W123">
        <f>NORMDIST($A$123,0,$B$7,FALSE())*(NORMDIST((G61-$A$123)/G18,0,1,TRUE())-NORMDIST((-G61-$A$123)/G18,0,1,TRUE()))</f>
        <v>0.31639340790866055</v>
      </c>
      <c r="X123">
        <f>NORMDIST($A$123,0,$B$7,FALSE())*(NORMDIST((H26-$A$123)/H18,0,1,TRUE())-NORMDIST((-H26-$A$123)/H18,0,1,TRUE()))</f>
        <v>0.30024011458161215</v>
      </c>
      <c r="Y123">
        <f>NORMDIST($A$123,0,$B$7,FALSE())*(NORMDIST((H61-$A$123)/H18,0,1,TRUE())-NORMDIST((-H61-$A$123)/H18,0,1,TRUE()))</f>
        <v>0.31608733757753121</v>
      </c>
      <c r="Z123">
        <f>NORMDIST($A$123,0,$B$7,FALSE())*(NORMDIST((J26-$A$123)/J18,0,1,TRUE())-NORMDIST((-J26-$A$123)/J18,0,1,TRUE()))</f>
        <v>0.3163376642859137</v>
      </c>
      <c r="AA123">
        <f>NORMDIST($A$123,0,$B$7,FALSE())*(NORMDIST((J61-$A$123)/J18,0,1,TRUE())-NORMDIST((-J61-$A$123)/J18,0,1,TRUE()))</f>
        <v>0.31639338065355505</v>
      </c>
      <c r="AB123">
        <f>NORMDIST($A$123,0,$B$7,FALSE())*(NORMDIST((K26-$A$123)/K18,0,1,TRUE())-NORMDIST((-K26-$A$123)/K18,0,1,TRUE()))</f>
        <v>0.31639339871621097</v>
      </c>
      <c r="AC123">
        <f>NORMDIST($A$123,0,$B$7,FALSE())*(NORMDIST((K61-$A$123)/K18,0,1,TRUE())-NORMDIST((-K61-$A$123)/K18,0,1,TRUE()))</f>
        <v>0.31639340790860709</v>
      </c>
      <c r="AD123">
        <f>NORMDIST($A$123,0,$B$7,FALSE())*(NORMDIST((L26-$A$123)/L18,0,1,TRUE())-NORMDIST((-L26-$A$123)/L18,0,1,TRUE()))</f>
        <v>0.31639340790860399</v>
      </c>
      <c r="AE123">
        <f>NORMDIST($A$123,0,$B$7,FALSE())*(NORMDIST((L61-$A$123)/L18,0,1,TRUE())-NORMDIST((-L61-$A$123)/L18,0,1,TRUE()))</f>
        <v>0.31639340790866055</v>
      </c>
      <c r="AF123">
        <f t="shared" ref="AF123:AK123" si="104">NORMDIST($A$123,0,$B$7,FALSE())*(NORMDIST((C216-$A$123)/C18,0,1,TRUE())-NORMDIST((-C216-$A$123)/C18,0,1,TRUE()))</f>
        <v>0.31632525897074049</v>
      </c>
      <c r="AG123">
        <f t="shared" si="104"/>
        <v>0.31639340439589081</v>
      </c>
      <c r="AH123">
        <f t="shared" si="104"/>
        <v>0.31639340778891195</v>
      </c>
      <c r="AI123">
        <f t="shared" si="104"/>
        <v>0.31639340790866055</v>
      </c>
      <c r="AJ123">
        <f t="shared" si="104"/>
        <v>0.31639340790866055</v>
      </c>
      <c r="AK123">
        <f t="shared" si="104"/>
        <v>0.31632525897074049</v>
      </c>
      <c r="AL123">
        <f>NORMDIST($A$123,0,$B$7,FALSE())*(NORMDIST((J216-$A$123)/J18,0,1,TRUE())-NORMDIST((-J216-$A$123)/J18,0,1,TRUE()))</f>
        <v>0.31639340306504643</v>
      </c>
      <c r="AM123">
        <f>NORMDIST($A$123,0,$B$7,FALSE())*(NORMDIST((K216-$A$123)/K18,0,1,TRUE())-NORMDIST((-K216-$A$123)/K18,0,1,TRUE()))</f>
        <v>0.31639340790863635</v>
      </c>
      <c r="AN123">
        <f>NORMDIST($A$123,0,$B$7,FALSE())*(NORMDIST((L216-$A$123)/L18,0,1,TRUE())-NORMDIST((-L216-$A$123)/L18,0,1,TRUE()))</f>
        <v>0.31639340790866055</v>
      </c>
      <c r="AO123">
        <f t="shared" ref="AO123:AT123" si="105">NORMDIST($A$123,0,$B$7,FALSE())*(NORMDIST(($B$5-$A$123)/C18,0,1,TRUE())-NORMDIST((-$B$5-$A$123)/C18,0,1,TRUE()))</f>
        <v>0.31635564239495517</v>
      </c>
      <c r="AP123">
        <f t="shared" si="105"/>
        <v>0.31639340439589081</v>
      </c>
      <c r="AQ123">
        <f t="shared" si="105"/>
        <v>0.31639340778891195</v>
      </c>
      <c r="AR123">
        <f t="shared" si="105"/>
        <v>0.31639340790866055</v>
      </c>
      <c r="AS123">
        <f t="shared" si="105"/>
        <v>0.31639340790866055</v>
      </c>
      <c r="AT123">
        <f t="shared" si="105"/>
        <v>0.31635564239495517</v>
      </c>
    </row>
    <row r="124" spans="1:46" ht="15" customHeight="1" x14ac:dyDescent="0.25">
      <c r="A124">
        <f>A102+22*2*$B$5/39</f>
        <v>0.25641025641025639</v>
      </c>
      <c r="N124">
        <f>NORMDIST($A$124,0,$B$7,FALSE())*(NORMDIST((C26-$A$124)/C18,0,1,TRUE())-NORMDIST((-C26-$A$124)/C18,0,1,TRUE()))</f>
        <v>0.29072481358700469</v>
      </c>
      <c r="O124">
        <f>NORMDIST($A$124,0,$B$7,FALSE())*(NORMDIST((C61-$A$124)/C18,0,1,TRUE())-NORMDIST((-C61-$A$124)/C18,0,1,TRUE()))</f>
        <v>0.31161947506312099</v>
      </c>
      <c r="P124">
        <f>NORMDIST($A$124,0,$B$7,FALSE())*(NORMDIST((D26-$A$124)/D18,0,1,TRUE())-NORMDIST((-D26-$A$124)/D18,0,1,TRUE()))</f>
        <v>0.3120323986159157</v>
      </c>
      <c r="Q124">
        <f>NORMDIST($A$124,0,$B$7,FALSE())*(NORMDIST((D61-$A$124)/D18,0,1,TRUE())-NORMDIST((-D61-$A$124)/D18,0,1,TRUE()))</f>
        <v>0.31217116744899165</v>
      </c>
      <c r="R124">
        <f>NORMDIST($A$124,0,$B$7,FALSE())*(NORMDIST((E26-$A$124)/E18,0,1,TRUE())-NORMDIST((-E26-$A$124)/E18,0,1,TRUE()))</f>
        <v>0.31215297357888949</v>
      </c>
      <c r="S124">
        <f>NORMDIST($A$124,0,$B$7,FALSE())*(NORMDIST((E61-$A$124)/E18,0,1,TRUE())-NORMDIST((-E61-$A$124)/E18,0,1,TRUE()))</f>
        <v>0.312171262944127</v>
      </c>
      <c r="T124">
        <f>NORMDIST($A$124,0,$B$7,FALSE())*(NORMDIST((F26-$A$124)/F18,0,1,TRUE())-NORMDIST((-F26-$A$124)/F18,0,1,TRUE()))</f>
        <v>0.31217126683662666</v>
      </c>
      <c r="U124">
        <f>NORMDIST($A$124,0,$B$7,FALSE())*(NORMDIST((F61-$A$124)/F18,0,1,TRUE())-NORMDIST((-F61-$A$124)/F18,0,1,TRUE()))</f>
        <v>0.31217126683881125</v>
      </c>
      <c r="V124">
        <f>NORMDIST($A$124,0,$B$7,FALSE())*(NORMDIST((G26-$A$124)/G18,0,1,TRUE())-NORMDIST((-G26-$A$124)/G18,0,1,TRUE()))</f>
        <v>0.31217126683881125</v>
      </c>
      <c r="W124">
        <f>NORMDIST($A$124,0,$B$7,FALSE())*(NORMDIST((G61-$A$124)/G18,0,1,TRUE())-NORMDIST((-G61-$A$124)/G18,0,1,TRUE()))</f>
        <v>0.31217126683881125</v>
      </c>
      <c r="X124">
        <f>NORMDIST($A$124,0,$B$7,FALSE())*(NORMDIST((H26-$A$124)/H18,0,1,TRUE())-NORMDIST((-H26-$A$124)/H18,0,1,TRUE()))</f>
        <v>0.29072481358700469</v>
      </c>
      <c r="Y124">
        <f>NORMDIST($A$124,0,$B$7,FALSE())*(NORMDIST((H61-$A$124)/H18,0,1,TRUE())-NORMDIST((-H61-$A$124)/H18,0,1,TRUE()))</f>
        <v>0.31161947506312099</v>
      </c>
      <c r="Z124">
        <f>NORMDIST($A$124,0,$B$7,FALSE())*(NORMDIST((J26-$A$124)/J18,0,1,TRUE())-NORMDIST((-J26-$A$124)/J18,0,1,TRUE()))</f>
        <v>0.31200362008850163</v>
      </c>
      <c r="AA124">
        <f>NORMDIST($A$124,0,$B$7,FALSE())*(NORMDIST((J61-$A$124)/J18,0,1,TRUE())-NORMDIST((-J61-$A$124)/J18,0,1,TRUE()))</f>
        <v>0.31217113183077649</v>
      </c>
      <c r="AB124">
        <f>NORMDIST($A$124,0,$B$7,FALSE())*(NORMDIST((K26-$A$124)/K18,0,1,TRUE())-NORMDIST((-K26-$A$124)/K18,0,1,TRUE()))</f>
        <v>0.31217118378451747</v>
      </c>
      <c r="AC124">
        <f>NORMDIST($A$124,0,$B$7,FALSE())*(NORMDIST((K61-$A$124)/K18,0,1,TRUE())-NORMDIST((-K61-$A$124)/K18,0,1,TRUE()))</f>
        <v>0.31217126683779584</v>
      </c>
      <c r="AD124">
        <f>NORMDIST($A$124,0,$B$7,FALSE())*(NORMDIST((L26-$A$124)/L18,0,1,TRUE())-NORMDIST((-L26-$A$124)/L18,0,1,TRUE()))</f>
        <v>0.31217126683662666</v>
      </c>
      <c r="AE124">
        <f>NORMDIST($A$124,0,$B$7,FALSE())*(NORMDIST((L61-$A$124)/L18,0,1,TRUE())-NORMDIST((-L61-$A$124)/L18,0,1,TRUE()))</f>
        <v>0.31217126683881125</v>
      </c>
      <c r="AF124">
        <f t="shared" ref="AF124:AK124" si="106">NORMDIST($A$124,0,$B$7,FALSE())*(NORMDIST((C216-$A$124)/C18,0,1,TRUE())-NORMDIST((-C216-$A$124)/C18,0,1,TRUE()))</f>
        <v>0.3120365745044249</v>
      </c>
      <c r="AG124">
        <f t="shared" si="106"/>
        <v>0.31217124706680943</v>
      </c>
      <c r="AH124">
        <f t="shared" si="106"/>
        <v>0.31217126587507621</v>
      </c>
      <c r="AI124">
        <f t="shared" si="106"/>
        <v>0.31217126683881125</v>
      </c>
      <c r="AJ124">
        <f t="shared" si="106"/>
        <v>0.31217126683881125</v>
      </c>
      <c r="AK124">
        <f t="shared" si="106"/>
        <v>0.3120365745044249</v>
      </c>
      <c r="AL124">
        <f>NORMDIST($A$124,0,$B$7,FALSE())*(NORMDIST((J216-$A$124)/J18,0,1,TRUE())-NORMDIST((-J216-$A$124)/J18,0,1,TRUE()))</f>
        <v>0.31217124048857858</v>
      </c>
      <c r="AM124">
        <f>NORMDIST($A$124,0,$B$7,FALSE())*(NORMDIST((K216-$A$124)/K18,0,1,TRUE())-NORMDIST((-K216-$A$124)/K18,0,1,TRUE()))</f>
        <v>0.31217126683833163</v>
      </c>
      <c r="AN124">
        <f>NORMDIST($A$124,0,$B$7,FALSE())*(NORMDIST((L216-$A$124)/L18,0,1,TRUE())-NORMDIST((-L216-$A$124)/L18,0,1,TRUE()))</f>
        <v>0.31217126683881125</v>
      </c>
      <c r="AO124">
        <f t="shared" ref="AO124:AT124" si="107">NORMDIST($A$124,0,$B$7,FALSE())*(NORMDIST(($B$5-$A$124)/C18,0,1,TRUE())-NORMDIST((-$B$5-$A$124)/C18,0,1,TRUE()))</f>
        <v>0.31209407613265655</v>
      </c>
      <c r="AP124">
        <f t="shared" si="107"/>
        <v>0.31217124706680943</v>
      </c>
      <c r="AQ124">
        <f t="shared" si="107"/>
        <v>0.31217126587507621</v>
      </c>
      <c r="AR124">
        <f t="shared" si="107"/>
        <v>0.31217126683881125</v>
      </c>
      <c r="AS124">
        <f t="shared" si="107"/>
        <v>0.31217126683881125</v>
      </c>
      <c r="AT124">
        <f t="shared" si="107"/>
        <v>0.31209407613265655</v>
      </c>
    </row>
    <row r="125" spans="1:46" ht="15" customHeight="1" x14ac:dyDescent="0.25">
      <c r="A125">
        <f>A102+23*2*$B$5/39</f>
        <v>0.35897435897435903</v>
      </c>
      <c r="N125">
        <f>NORMDIST($A$125,0,$B$7,FALSE())*(NORMDIST((C26-$A$125)/C18,0,1,TRUE())-NORMDIST((-C26-$A$125)/C18,0,1,TRUE()))</f>
        <v>0.27657784532999785</v>
      </c>
      <c r="O125">
        <f>NORMDIST($A$125,0,$B$7,FALSE())*(NORMDIST((C61-$A$125)/C18,0,1,TRUE())-NORMDIST((-C61-$A$125)/C18,0,1,TRUE()))</f>
        <v>0.30493610121673104</v>
      </c>
      <c r="P125">
        <f>NORMDIST($A$125,0,$B$7,FALSE())*(NORMDIST((D26-$A$125)/D18,0,1,TRUE())-NORMDIST((-D26-$A$125)/D18,0,1,TRUE()))</f>
        <v>0.30554747010101174</v>
      </c>
      <c r="Q125">
        <f>NORMDIST($A$125,0,$B$7,FALSE())*(NORMDIST((D61-$A$125)/D18,0,1,TRUE())-NORMDIST((-D61-$A$125)/D18,0,1,TRUE()))</f>
        <v>0.3059429994024585</v>
      </c>
      <c r="R125">
        <f>NORMDIST($A$125,0,$B$7,FALSE())*(NORMDIST((E26-$A$125)/E18,0,1,TRUE())-NORMDIST((-E26-$A$125)/E18,0,1,TRUE()))</f>
        <v>0.30587493636873969</v>
      </c>
      <c r="S125">
        <f>NORMDIST($A$125,0,$B$7,FALSE())*(NORMDIST((E61-$A$125)/E18,0,1,TRUE())-NORMDIST((-E61-$A$125)/E18,0,1,TRUE()))</f>
        <v>0.30594343685099412</v>
      </c>
      <c r="T125">
        <f>NORMDIST($A$125,0,$B$7,FALSE())*(NORMDIST((F26-$A$125)/F18,0,1,TRUE())-NORMDIST((-F26-$A$125)/F18,0,1,TRUE()))</f>
        <v>0.3059434624754403</v>
      </c>
      <c r="U125">
        <f>NORMDIST($A$125,0,$B$7,FALSE())*(NORMDIST((F61-$A$125)/F18,0,1,TRUE())-NORMDIST((-F61-$A$125)/F18,0,1,TRUE()))</f>
        <v>0.30594346254021654</v>
      </c>
      <c r="V125">
        <f>NORMDIST($A$125,0,$B$7,FALSE())*(NORMDIST((G26-$A$125)/G18,0,1,TRUE())-NORMDIST((-G26-$A$125)/G18,0,1,TRUE()))</f>
        <v>0.30594346254021659</v>
      </c>
      <c r="W125">
        <f>NORMDIST($A$125,0,$B$7,FALSE())*(NORMDIST((G61-$A$125)/G18,0,1,TRUE())-NORMDIST((-G61-$A$125)/G18,0,1,TRUE()))</f>
        <v>0.30594346254021659</v>
      </c>
      <c r="X125">
        <f>NORMDIST($A$125,0,$B$7,FALSE())*(NORMDIST((H26-$A$125)/H18,0,1,TRUE())-NORMDIST((-H26-$A$125)/H18,0,1,TRUE()))</f>
        <v>0.27657784532999785</v>
      </c>
      <c r="Y125">
        <f>NORMDIST($A$125,0,$B$7,FALSE())*(NORMDIST((H61-$A$125)/H18,0,1,TRUE())-NORMDIST((-H61-$A$125)/H18,0,1,TRUE()))</f>
        <v>0.30493610121673104</v>
      </c>
      <c r="Z125">
        <f>NORMDIST($A$125,0,$B$7,FALSE())*(NORMDIST((J26-$A$125)/J18,0,1,TRUE())-NORMDIST((-J26-$A$125)/J18,0,1,TRUE()))</f>
        <v>0.30547749305597549</v>
      </c>
      <c r="AA125">
        <f>NORMDIST($A$125,0,$B$7,FALSE())*(NORMDIST((J61-$A$125)/J18,0,1,TRUE())-NORMDIST((-J61-$A$125)/J18,0,1,TRUE()))</f>
        <v>0.30594285375854852</v>
      </c>
      <c r="AB125">
        <f>NORMDIST($A$125,0,$B$7,FALSE())*(NORMDIST((K26-$A$125)/K18,0,1,TRUE())-NORMDIST((-K26-$A$125)/K18,0,1,TRUE()))</f>
        <v>0.3059428288574299</v>
      </c>
      <c r="AC125">
        <f>NORMDIST($A$125,0,$B$7,FALSE())*(NORMDIST((K61-$A$125)/K18,0,1,TRUE())-NORMDIST((-K61-$A$125)/K18,0,1,TRUE()))</f>
        <v>0.30594346252397192</v>
      </c>
      <c r="AD125">
        <f>NORMDIST($A$125,0,$B$7,FALSE())*(NORMDIST((L26-$A$125)/L18,0,1,TRUE())-NORMDIST((-L26-$A$125)/L18,0,1,TRUE()))</f>
        <v>0.3059434624754403</v>
      </c>
      <c r="AE125">
        <f>NORMDIST($A$125,0,$B$7,FALSE())*(NORMDIST((L61-$A$125)/L18,0,1,TRUE())-NORMDIST((-L61-$A$125)/L18,0,1,TRUE()))</f>
        <v>0.30594346254021654</v>
      </c>
      <c r="AF125">
        <f t="shared" ref="AF125:AK125" si="108">NORMDIST($A$125,0,$B$7,FALSE())*(NORMDIST((C216-$A$125)/C18,0,1,TRUE())-NORMDIST((-C216-$A$125)/C18,0,1,TRUE()))</f>
        <v>0.30567606448616164</v>
      </c>
      <c r="AG125">
        <f t="shared" si="108"/>
        <v>0.30594336159244451</v>
      </c>
      <c r="AH125">
        <f t="shared" si="108"/>
        <v>0.30594345565926295</v>
      </c>
      <c r="AI125">
        <f t="shared" si="108"/>
        <v>0.30594346254021654</v>
      </c>
      <c r="AJ125">
        <f t="shared" si="108"/>
        <v>0.30594346254021659</v>
      </c>
      <c r="AK125">
        <f t="shared" si="108"/>
        <v>0.30567606448616164</v>
      </c>
      <c r="AL125">
        <f>NORMDIST($A$125,0,$B$7,FALSE())*(NORMDIST((J216-$A$125)/J18,0,1,TRUE())-NORMDIST((-J216-$A$125)/J18,0,1,TRUE()))</f>
        <v>0.30594333221733916</v>
      </c>
      <c r="AM125">
        <f>NORMDIST($A$125,0,$B$7,FALSE())*(NORMDIST((K216-$A$125)/K18,0,1,TRUE())-NORMDIST((-K216-$A$125)/K18,0,1,TRUE()))</f>
        <v>0.30594346253220894</v>
      </c>
      <c r="AN125">
        <f>NORMDIST($A$125,0,$B$7,FALSE())*(NORMDIST((L216-$A$125)/L18,0,1,TRUE())-NORMDIST((-L216-$A$125)/L18,0,1,TRUE()))</f>
        <v>0.30594346254021654</v>
      </c>
      <c r="AO125">
        <f t="shared" ref="AO125:AT125" si="109">NORMDIST($A$125,0,$B$7,FALSE())*(NORMDIST(($B$5-$A$125)/C18,0,1,TRUE())-NORMDIST((-$B$5-$A$125)/C18,0,1,TRUE()))</f>
        <v>0.30578545330353935</v>
      </c>
      <c r="AP125">
        <f t="shared" si="109"/>
        <v>0.30594336159244451</v>
      </c>
      <c r="AQ125">
        <f t="shared" si="109"/>
        <v>0.30594345565926295</v>
      </c>
      <c r="AR125">
        <f t="shared" si="109"/>
        <v>0.30594346254021654</v>
      </c>
      <c r="AS125">
        <f t="shared" si="109"/>
        <v>0.30594346254021659</v>
      </c>
      <c r="AT125">
        <f t="shared" si="109"/>
        <v>0.30578545330353935</v>
      </c>
    </row>
    <row r="126" spans="1:46" ht="15" customHeight="1" x14ac:dyDescent="0.25">
      <c r="A126">
        <f>A102+24*2*$B$5/39</f>
        <v>0.46153846153846168</v>
      </c>
      <c r="N126">
        <f>NORMDIST($A$126,0,$B$7,FALSE())*(NORMDIST((C26-$A$126)/C18,0,1,TRUE())-NORMDIST((-C26-$A$126)/C18,0,1,TRUE()))</f>
        <v>0.25806104161113674</v>
      </c>
      <c r="O126">
        <f>NORMDIST($A$126,0,$B$7,FALSE())*(NORMDIST((C61-$A$126)/C18,0,1,TRUE())-NORMDIST((-C61-$A$126)/C18,0,1,TRUE()))</f>
        <v>0.29605115050484992</v>
      </c>
      <c r="P126">
        <f>NORMDIST($A$126,0,$B$7,FALSE())*(NORMDIST((D26-$A$126)/D18,0,1,TRUE())-NORMDIST((-D26-$A$126)/D18,0,1,TRUE()))</f>
        <v>0.29680618443949108</v>
      </c>
      <c r="Q126">
        <f>NORMDIST($A$126,0,$B$7,FALSE())*(NORMDIST((D61-$A$126)/D18,0,1,TRUE())-NORMDIST((-D61-$A$126)/D18,0,1,TRUE()))</f>
        <v>0.29783060938308986</v>
      </c>
      <c r="R126">
        <f>NORMDIST($A$126,0,$B$7,FALSE())*(NORMDIST((E26-$A$126)/E18,0,1,TRUE())-NORMDIST((-E26-$A$126)/E18,0,1,TRUE()))</f>
        <v>0.2976041500644227</v>
      </c>
      <c r="S126">
        <f>NORMDIST($A$126,0,$B$7,FALSE())*(NORMDIST((E61-$A$126)/E18,0,1,TRUE())-NORMDIST((-E61-$A$126)/E18,0,1,TRUE()))</f>
        <v>0.29783241248973441</v>
      </c>
      <c r="T126">
        <f>NORMDIST($A$126,0,$B$7,FALSE())*(NORMDIST((F26-$A$126)/F18,0,1,TRUE())-NORMDIST((-F26-$A$126)/F18,0,1,TRUE()))</f>
        <v>0.29783256129323116</v>
      </c>
      <c r="U126">
        <f>NORMDIST($A$126,0,$B$7,FALSE())*(NORMDIST((F61-$A$126)/F18,0,1,TRUE())-NORMDIST((-F61-$A$126)/F18,0,1,TRUE()))</f>
        <v>0.29783256276859221</v>
      </c>
      <c r="V126">
        <f>NORMDIST($A$126,0,$B$7,FALSE())*(NORMDIST((G26-$A$126)/G18,0,1,TRUE())-NORMDIST((-G26-$A$126)/G18,0,1,TRUE()))</f>
        <v>0.29783256276859438</v>
      </c>
      <c r="W126">
        <f>NORMDIST($A$126,0,$B$7,FALSE())*(NORMDIST((G61-$A$126)/G18,0,1,TRUE())-NORMDIST((-G61-$A$126)/G18,0,1,TRUE()))</f>
        <v>0.29783256276859438</v>
      </c>
      <c r="X126">
        <f>NORMDIST($A$126,0,$B$7,FALSE())*(NORMDIST((H26-$A$126)/H18,0,1,TRUE())-NORMDIST((-H26-$A$126)/H18,0,1,TRUE()))</f>
        <v>0.25806104161113674</v>
      </c>
      <c r="Y126">
        <f>NORMDIST($A$126,0,$B$7,FALSE())*(NORMDIST((H61-$A$126)/H18,0,1,TRUE())-NORMDIST((-H61-$A$126)/H18,0,1,TRUE()))</f>
        <v>0.29605115050484992</v>
      </c>
      <c r="Z126">
        <f>NORMDIST($A$126,0,$B$7,FALSE())*(NORMDIST((J26-$A$126)/J18,0,1,TRUE())-NORMDIST((-J26-$A$126)/J18,0,1,TRUE()))</f>
        <v>0.29665286868547103</v>
      </c>
      <c r="AA126">
        <f>NORMDIST($A$126,0,$B$7,FALSE())*(NORMDIST((J61-$A$126)/J18,0,1,TRUE())-NORMDIST((-J61-$A$126)/J18,0,1,TRUE()))</f>
        <v>0.29783007324745403</v>
      </c>
      <c r="AB126">
        <f>NORMDIST($A$126,0,$B$7,FALSE())*(NORMDIST((K26-$A$126)/K18,0,1,TRUE())-NORMDIST((-K26-$A$126)/K18,0,1,TRUE()))</f>
        <v>0.29782847853066435</v>
      </c>
      <c r="AC126">
        <f>NORMDIST($A$126,0,$B$7,FALSE())*(NORMDIST((K61-$A$126)/K18,0,1,TRUE())-NORMDIST((-K61-$A$126)/K18,0,1,TRUE()))</f>
        <v>0.29783256254966334</v>
      </c>
      <c r="AD126">
        <f>NORMDIST($A$126,0,$B$7,FALSE())*(NORMDIST((L26-$A$126)/L18,0,1,TRUE())-NORMDIST((-L26-$A$126)/L18,0,1,TRUE()))</f>
        <v>0.29783256129323116</v>
      </c>
      <c r="AE126">
        <f>NORMDIST($A$126,0,$B$7,FALSE())*(NORMDIST((L61-$A$126)/L18,0,1,TRUE())-NORMDIST((-L61-$A$126)/L18,0,1,TRUE()))</f>
        <v>0.29783256276859221</v>
      </c>
      <c r="AF126">
        <f t="shared" ref="AF126:AK126" si="110">NORMDIST($A$126,0,$B$7,FALSE())*(NORMDIST((C216-$A$126)/C18,0,1,TRUE())-NORMDIST((-C216-$A$126)/C18,0,1,TRUE()))</f>
        <v>0.29732051219751549</v>
      </c>
      <c r="AG126">
        <f t="shared" si="110"/>
        <v>0.29783209644603931</v>
      </c>
      <c r="AH126">
        <f t="shared" si="110"/>
        <v>0.29783251920795817</v>
      </c>
      <c r="AI126">
        <f t="shared" si="110"/>
        <v>0.29783256276859221</v>
      </c>
      <c r="AJ126">
        <f t="shared" si="110"/>
        <v>0.29783256276859438</v>
      </c>
      <c r="AK126">
        <f t="shared" si="110"/>
        <v>0.29732051219751549</v>
      </c>
      <c r="AL126">
        <f>NORMDIST($A$126,0,$B$7,FALSE())*(NORMDIST((J216-$A$126)/J18,0,1,TRUE())-NORMDIST((-J216-$A$126)/J18,0,1,TRUE()))</f>
        <v>0.29783197846875464</v>
      </c>
      <c r="AM126">
        <f>NORMDIST($A$126,0,$B$7,FALSE())*(NORMDIST((K216-$A$126)/K18,0,1,TRUE())-NORMDIST((-K216-$A$126)/K18,0,1,TRUE()))</f>
        <v>0.29783256265597491</v>
      </c>
      <c r="AN126">
        <f>NORMDIST($A$126,0,$B$7,FALSE())*(NORMDIST((L216-$A$126)/L18,0,1,TRUE())-NORMDIST((-L216-$A$126)/L18,0,1,TRUE()))</f>
        <v>0.29783256276859221</v>
      </c>
      <c r="AO126">
        <f t="shared" ref="AO126:AT126" si="111">NORMDIST($A$126,0,$B$7,FALSE())*(NORMDIST(($B$5-$A$126)/C18,0,1,TRUE())-NORMDIST((-$B$5-$A$126)/C18,0,1,TRUE()))</f>
        <v>0.29752097859139931</v>
      </c>
      <c r="AP126">
        <f t="shared" si="111"/>
        <v>0.29783209644603931</v>
      </c>
      <c r="AQ126">
        <f t="shared" si="111"/>
        <v>0.29783251920795817</v>
      </c>
      <c r="AR126">
        <f t="shared" si="111"/>
        <v>0.29783256276859221</v>
      </c>
      <c r="AS126">
        <f t="shared" si="111"/>
        <v>0.29783256276859438</v>
      </c>
      <c r="AT126">
        <f t="shared" si="111"/>
        <v>0.29752097859139931</v>
      </c>
    </row>
    <row r="127" spans="1:46" ht="15" customHeight="1" x14ac:dyDescent="0.25">
      <c r="A127">
        <f>A102+25*2*$B$5/39</f>
        <v>0.56410256410256432</v>
      </c>
      <c r="N127">
        <f>NORMDIST($A$127,0,$B$7,FALSE())*(NORMDIST((C26-$A$127)/C18,0,1,TRUE())-NORMDIST((-C26-$A$127)/C18,0,1,TRUE()))</f>
        <v>0.23566532311550192</v>
      </c>
      <c r="O127">
        <f>NORMDIST($A$127,0,$B$7,FALSE())*(NORMDIST((C61-$A$127)/C18,0,1,TRUE())-NORMDIST((-C61-$A$127)/C18,0,1,TRUE()))</f>
        <v>0.2849751378124375</v>
      </c>
      <c r="P127">
        <f>NORMDIST($A$127,0,$B$7,FALSE())*(NORMDIST((D26-$A$127)/D18,0,1,TRUE())-NORMDIST((-D26-$A$127)/D18,0,1,TRUE()))</f>
        <v>0.2855774654738914</v>
      </c>
      <c r="Q127">
        <f>NORMDIST($A$127,0,$B$7,FALSE())*(NORMDIST((D61-$A$127)/D18,0,1,TRUE())-NORMDIST((-D61-$A$127)/D18,0,1,TRUE()))</f>
        <v>0.28798819151429561</v>
      </c>
      <c r="R127">
        <f>NORMDIST($A$127,0,$B$7,FALSE())*(NORMDIST((E26-$A$127)/E18,0,1,TRUE())-NORMDIST((-E26-$A$127)/E18,0,1,TRUE()))</f>
        <v>0.28731763018287909</v>
      </c>
      <c r="S127">
        <f>NORMDIST($A$127,0,$B$7,FALSE())*(NORMDIST((E61-$A$127)/E18,0,1,TRUE())-NORMDIST((-E61-$A$127)/E18,0,1,TRUE()))</f>
        <v>0.28799487109480182</v>
      </c>
      <c r="T127">
        <f>NORMDIST($A$127,0,$B$7,FALSE())*(NORMDIST((F26-$A$127)/F18,0,1,TRUE())-NORMDIST((-F26-$A$127)/F18,0,1,TRUE()))</f>
        <v>0.28799562525216049</v>
      </c>
      <c r="U127">
        <f>NORMDIST($A$127,0,$B$7,FALSE())*(NORMDIST((F61-$A$127)/F18,0,1,TRUE())-NORMDIST((-F61-$A$127)/F18,0,1,TRUE()))</f>
        <v>0.28799565108803926</v>
      </c>
      <c r="V127">
        <f>NORMDIST($A$127,0,$B$7,FALSE())*(NORMDIST((G26-$A$127)/G18,0,1,TRUE())-NORMDIST((-G26-$A$127)/G18,0,1,TRUE()))</f>
        <v>0.28799565108814001</v>
      </c>
      <c r="W127">
        <f>NORMDIST($A$127,0,$B$7,FALSE())*(NORMDIST((G61-$A$127)/G18,0,1,TRUE())-NORMDIST((-G61-$A$127)/G18,0,1,TRUE()))</f>
        <v>0.28799565108814001</v>
      </c>
      <c r="X127">
        <f>NORMDIST($A$127,0,$B$7,FALSE())*(NORMDIST((H26-$A$127)/H18,0,1,TRUE())-NORMDIST((-H26-$A$127)/H18,0,1,TRUE()))</f>
        <v>0.23566532311550192</v>
      </c>
      <c r="Y127">
        <f>NORMDIST($A$127,0,$B$7,FALSE())*(NORMDIST((H61-$A$127)/H18,0,1,TRUE())-NORMDIST((-H61-$A$127)/H18,0,1,TRUE()))</f>
        <v>0.2849751378124375</v>
      </c>
      <c r="Z127">
        <f>NORMDIST($A$127,0,$B$7,FALSE())*(NORMDIST((J26-$A$127)/J18,0,1,TRUE())-NORMDIST((-J26-$A$127)/J18,0,1,TRUE()))</f>
        <v>0.2852755136124317</v>
      </c>
      <c r="AA127">
        <f>NORMDIST($A$127,0,$B$7,FALSE())*(NORMDIST((J61-$A$127)/J18,0,1,TRUE())-NORMDIST((-J61-$A$127)/J18,0,1,TRUE()))</f>
        <v>0.2879864157590733</v>
      </c>
      <c r="AB127">
        <f>NORMDIST($A$127,0,$B$7,FALSE())*(NORMDIST((K26-$A$127)/K18,0,1,TRUE())-NORMDIST((-K26-$A$127)/K18,0,1,TRUE()))</f>
        <v>0.28797339153704382</v>
      </c>
      <c r="AC127">
        <f>NORMDIST($A$127,0,$B$7,FALSE())*(NORMDIST((K61-$A$127)/K18,0,1,TRUE())-NORMDIST((-K61-$A$127)/K18,0,1,TRUE()))</f>
        <v>0.28799564860144489</v>
      </c>
      <c r="AD127">
        <f>NORMDIST($A$127,0,$B$7,FALSE())*(NORMDIST((L26-$A$127)/L18,0,1,TRUE())-NORMDIST((-L26-$A$127)/L18,0,1,TRUE()))</f>
        <v>0.28799562525216049</v>
      </c>
      <c r="AE127">
        <f>NORMDIST($A$127,0,$B$7,FALSE())*(NORMDIST((L61-$A$127)/L18,0,1,TRUE())-NORMDIST((-L61-$A$127)/L18,0,1,TRUE()))</f>
        <v>0.28799565108803926</v>
      </c>
      <c r="AF127">
        <f t="shared" ref="AF127:AK127" si="112">NORMDIST($A$127,0,$B$7,FALSE())*(NORMDIST((C216-$A$127)/C18,0,1,TRUE())-NORMDIST((-C216-$A$127)/C18,0,1,TRUE()))</f>
        <v>0.28705717141522213</v>
      </c>
      <c r="AG127">
        <f t="shared" si="112"/>
        <v>0.28799370147577169</v>
      </c>
      <c r="AH127">
        <f t="shared" si="112"/>
        <v>0.28799540648897576</v>
      </c>
      <c r="AI127">
        <f t="shared" si="112"/>
        <v>0.28799565108803926</v>
      </c>
      <c r="AJ127">
        <f t="shared" si="112"/>
        <v>0.28799565108814001</v>
      </c>
      <c r="AK127">
        <f t="shared" si="112"/>
        <v>0.28705717141522213</v>
      </c>
      <c r="AL127">
        <f>NORMDIST($A$127,0,$B$7,FALSE())*(NORMDIST((J216-$A$127)/J18,0,1,TRUE())-NORMDIST((-J216-$A$127)/J18,0,1,TRUE()))</f>
        <v>0.28799327560424032</v>
      </c>
      <c r="AM127">
        <f>NORMDIST($A$127,0,$B$7,FALSE())*(NORMDIST((K216-$A$127)/K18,0,1,TRUE())-NORMDIST((-K216-$A$127)/K18,0,1,TRUE()))</f>
        <v>0.28799564975342123</v>
      </c>
      <c r="AN127">
        <f>NORMDIST($A$127,0,$B$7,FALSE())*(NORMDIST((L216-$A$127)/L18,0,1,TRUE())-NORMDIST((-L216-$A$127)/L18,0,1,TRUE()))</f>
        <v>0.28799565108803926</v>
      </c>
      <c r="AO127">
        <f t="shared" ref="AO127:AT127" si="113">NORMDIST($A$127,0,$B$7,FALSE())*(NORMDIST(($B$5-$A$127)/C18,0,1,TRUE())-NORMDIST((-$B$5-$A$127)/C18,0,1,TRUE()))</f>
        <v>0.28740788500238645</v>
      </c>
      <c r="AP127">
        <f t="shared" si="113"/>
        <v>0.28799370147577169</v>
      </c>
      <c r="AQ127">
        <f t="shared" si="113"/>
        <v>0.28799540648897576</v>
      </c>
      <c r="AR127">
        <f t="shared" si="113"/>
        <v>0.28799565108803926</v>
      </c>
      <c r="AS127">
        <f t="shared" si="113"/>
        <v>0.28799565108814001</v>
      </c>
      <c r="AT127">
        <f t="shared" si="113"/>
        <v>0.28740788500238645</v>
      </c>
    </row>
    <row r="128" spans="1:46" ht="15" customHeight="1" x14ac:dyDescent="0.25">
      <c r="A128">
        <f>A102+26*2*$B$5/39</f>
        <v>0.66666666666666652</v>
      </c>
      <c r="N128">
        <f>NORMDIST($A$128,0,$B$7,FALSE())*(NORMDIST((C26-$A$128)/C18,0,1,TRUE())-NORMDIST((-C26-$A$128)/C18,0,1,TRUE()))</f>
        <v>0.21015923760776437</v>
      </c>
      <c r="O128">
        <f>NORMDIST($A$128,0,$B$7,FALSE())*(NORMDIST((C61-$A$128)/C18,0,1,TRUE())-NORMDIST((-C61-$A$128)/C18,0,1,TRUE()))</f>
        <v>0.27171830252075579</v>
      </c>
      <c r="P128">
        <f>NORMDIST($A$128,0,$B$7,FALSE())*(NORMDIST((D26-$A$128)/D18,0,1,TRUE())-NORMDIST((-D26-$A$128)/D18,0,1,TRUE()))</f>
        <v>0.27143425079742622</v>
      </c>
      <c r="Q128">
        <f>NORMDIST($A$128,0,$B$7,FALSE())*(NORMDIST((D61-$A$128)/D18,0,1,TRUE())-NORMDIST((-D61-$A$128)/D18,0,1,TRUE()))</f>
        <v>0.27659346553690556</v>
      </c>
      <c r="R128">
        <f>NORMDIST($A$128,0,$B$7,FALSE())*(NORMDIST((E26-$A$128)/E18,0,1,TRUE())-NORMDIST((-E26-$A$128)/E18,0,1,TRUE()))</f>
        <v>0.27482465074037399</v>
      </c>
      <c r="S128">
        <f>NORMDIST($A$128,0,$B$7,FALSE())*(NORMDIST((E61-$A$128)/E18,0,1,TRUE())-NORMDIST((-E61-$A$128)/E18,0,1,TRUE()))</f>
        <v>0.27661567642465756</v>
      </c>
      <c r="T128">
        <f>NORMDIST($A$128,0,$B$7,FALSE())*(NORMDIST((F26-$A$128)/F18,0,1,TRUE())-NORMDIST((-F26-$A$128)/F18,0,1,TRUE()))</f>
        <v>0.27661892189329407</v>
      </c>
      <c r="U128">
        <f>NORMDIST($A$128,0,$B$7,FALSE())*(NORMDIST((F61-$A$128)/F18,0,1,TRUE())-NORMDIST((-F61-$A$128)/F18,0,1,TRUE()))</f>
        <v>0.276619270153518</v>
      </c>
      <c r="V128">
        <f>NORMDIST($A$128,0,$B$7,FALSE())*(NORMDIST((G26-$A$128)/G18,0,1,TRUE())-NORMDIST((-G26-$A$128)/G18,0,1,TRUE()))</f>
        <v>0.27661927015713728</v>
      </c>
      <c r="W128">
        <f>NORMDIST($A$128,0,$B$7,FALSE())*(NORMDIST((G61-$A$128)/G18,0,1,TRUE())-NORMDIST((-G61-$A$128)/G18,0,1,TRUE()))</f>
        <v>0.27661927015713728</v>
      </c>
      <c r="X128">
        <f>NORMDIST($A$128,0,$B$7,FALSE())*(NORMDIST((H26-$A$128)/H18,0,1,TRUE())-NORMDIST((-H26-$A$128)/H18,0,1,TRUE()))</f>
        <v>0.21015923760776437</v>
      </c>
      <c r="Y128">
        <f>NORMDIST($A$128,0,$B$7,FALSE())*(NORMDIST((H61-$A$128)/H18,0,1,TRUE())-NORMDIST((-H61-$A$128)/H18,0,1,TRUE()))</f>
        <v>0.27171830252075579</v>
      </c>
      <c r="Z128">
        <f>NORMDIST($A$128,0,$B$7,FALSE())*(NORMDIST((J26-$A$128)/J18,0,1,TRUE())-NORMDIST((-J26-$A$128)/J18,0,1,TRUE()))</f>
        <v>0.27090012148159021</v>
      </c>
      <c r="AA128">
        <f>NORMDIST($A$128,0,$B$7,FALSE())*(NORMDIST((J61-$A$128)/J18,0,1,TRUE())-NORMDIST((-J61-$A$128)/J18,0,1,TRUE()))</f>
        <v>0.27658817595849883</v>
      </c>
      <c r="AB128">
        <f>NORMDIST($A$128,0,$B$7,FALSE())*(NORMDIST((K26-$A$128)/K18,0,1,TRUE())-NORMDIST((-K26-$A$128)/K18,0,1,TRUE()))</f>
        <v>0.27651655590366842</v>
      </c>
      <c r="AC128">
        <f>NORMDIST($A$128,0,$B$7,FALSE())*(NORMDIST((K61-$A$128)/K18,0,1,TRUE())-NORMDIST((-K61-$A$128)/K18,0,1,TRUE()))</f>
        <v>0.27661924634049395</v>
      </c>
      <c r="AD128">
        <f>NORMDIST($A$128,0,$B$7,FALSE())*(NORMDIST((L26-$A$128)/L18,0,1,TRUE())-NORMDIST((-L26-$A$128)/L18,0,1,TRUE()))</f>
        <v>0.27661892189329407</v>
      </c>
      <c r="AE128">
        <f>NORMDIST($A$128,0,$B$7,FALSE())*(NORMDIST((L61-$A$128)/L18,0,1,TRUE())-NORMDIST((-L61-$A$128)/L18,0,1,TRUE()))</f>
        <v>0.276619270153518</v>
      </c>
      <c r="AF128">
        <f t="shared" ref="AF128:AK128" si="114">NORMDIST($A$128,0,$B$7,FALSE())*(NORMDIST((C216-$A$128)/C18,0,1,TRUE())-NORMDIST((-C216-$A$128)/C18,0,1,TRUE()))</f>
        <v>0.27497503415024266</v>
      </c>
      <c r="AG128">
        <f t="shared" si="114"/>
        <v>0.27661189006640169</v>
      </c>
      <c r="AH128">
        <f t="shared" si="114"/>
        <v>0.27661805138267354</v>
      </c>
      <c r="AI128">
        <f t="shared" si="114"/>
        <v>0.276619270153518</v>
      </c>
      <c r="AJ128">
        <f t="shared" si="114"/>
        <v>0.27661927015713728</v>
      </c>
      <c r="AK128">
        <f t="shared" si="114"/>
        <v>0.27497503415024266</v>
      </c>
      <c r="AL128">
        <f>NORMDIST($A$128,0,$B$7,FALSE())*(NORMDIST((J216-$A$128)/J18,0,1,TRUE())-NORMDIST((-J216-$A$128)/J18,0,1,TRUE()))</f>
        <v>0.27661050928133624</v>
      </c>
      <c r="AM128">
        <f>NORMDIST($A$128,0,$B$7,FALSE())*(NORMDIST((K216-$A$128)/K18,0,1,TRUE())-NORMDIST((-K216-$A$128)/K18,0,1,TRUE()))</f>
        <v>0.27661925682048311</v>
      </c>
      <c r="AN128">
        <f>NORMDIST($A$128,0,$B$7,FALSE())*(NORMDIST((L216-$A$128)/L18,0,1,TRUE())-NORMDIST((-L216-$A$128)/L18,0,1,TRUE()))</f>
        <v>0.276619270153518</v>
      </c>
      <c r="AO128">
        <f t="shared" ref="AO128:AT128" si="115">NORMDIST($A$128,0,$B$7,FALSE())*(NORMDIST(($B$5-$A$128)/C18,0,1,TRUE())-NORMDIST((-$B$5-$A$128)/C18,0,1,TRUE()))</f>
        <v>0.27555969974345235</v>
      </c>
      <c r="AP128">
        <f t="shared" si="115"/>
        <v>0.27661189006640169</v>
      </c>
      <c r="AQ128">
        <f t="shared" si="115"/>
        <v>0.27661805138267354</v>
      </c>
      <c r="AR128">
        <f t="shared" si="115"/>
        <v>0.276619270153518</v>
      </c>
      <c r="AS128">
        <f t="shared" si="115"/>
        <v>0.27661927015713728</v>
      </c>
      <c r="AT128">
        <f t="shared" si="115"/>
        <v>0.27555969974345235</v>
      </c>
    </row>
    <row r="129" spans="1:46" ht="15" customHeight="1" x14ac:dyDescent="0.25">
      <c r="A129">
        <f>A102+27*2*$B$5/39</f>
        <v>0.76923076923076916</v>
      </c>
      <c r="N129">
        <f>NORMDIST($A$129,0,$B$7,FALSE())*(NORMDIST((C26-$A$129)/C18,0,1,TRUE())-NORMDIST((-C26-$A$129)/C18,0,1,TRUE()))</f>
        <v>0.18258359399588767</v>
      </c>
      <c r="O129">
        <f>NORMDIST($A$129,0,$B$7,FALSE())*(NORMDIST((C61-$A$129)/C18,0,1,TRUE())-NORMDIST((-C61-$A$129)/C18,0,1,TRUE()))</f>
        <v>0.25630437888436552</v>
      </c>
      <c r="P129">
        <f>NORMDIST($A$129,0,$B$7,FALSE())*(NORMDIST((D26-$A$129)/D18,0,1,TRUE())-NORMDIST((-D26-$A$129)/D18,0,1,TRUE()))</f>
        <v>0.25378016660729114</v>
      </c>
      <c r="Q129">
        <f>NORMDIST($A$129,0,$B$7,FALSE())*(NORMDIST((D61-$A$129)/D18,0,1,TRUE())-NORMDIST((-D61-$A$129)/D18,0,1,TRUE()))</f>
        <v>0.26383263948916169</v>
      </c>
      <c r="R129">
        <f>NORMDIST($A$129,0,$B$7,FALSE())*(NORMDIST((E26-$A$129)/E18,0,1,TRUE())-NORMDIST((-E26-$A$129)/E18,0,1,TRUE()))</f>
        <v>0.25967138480139157</v>
      </c>
      <c r="S129">
        <f>NORMDIST($A$129,0,$B$7,FALSE())*(NORMDIST((E61-$A$129)/E18,0,1,TRUE())-NORMDIST((-E61-$A$129)/E18,0,1,TRUE()))</f>
        <v>0.26389883967887956</v>
      </c>
      <c r="T129">
        <f>NORMDIST($A$129,0,$B$7,FALSE())*(NORMDIST((F26-$A$129)/F18,0,1,TRUE())-NORMDIST((-F26-$A$129)/F18,0,1,TRUE()))</f>
        <v>0.26390992738515695</v>
      </c>
      <c r="U129">
        <f>NORMDIST($A$129,0,$B$7,FALSE())*(NORMDIST((F61-$A$129)/F18,0,1,TRUE())-NORMDIST((-F61-$A$129)/F18,0,1,TRUE()))</f>
        <v>0.26391354638498982</v>
      </c>
      <c r="V129">
        <f>NORMDIST($A$129,0,$B$7,FALSE())*(NORMDIST((G26-$A$129)/G18,0,1,TRUE())-NORMDIST((-G26-$A$129)/G18,0,1,TRUE()))</f>
        <v>0.26391354648478349</v>
      </c>
      <c r="W129">
        <f>NORMDIST($A$129,0,$B$7,FALSE())*(NORMDIST((G61-$A$129)/G18,0,1,TRUE())-NORMDIST((-G61-$A$129)/G18,0,1,TRUE()))</f>
        <v>0.26391354648478349</v>
      </c>
      <c r="X129">
        <f>NORMDIST($A$129,0,$B$7,FALSE())*(NORMDIST((H26-$A$129)/H18,0,1,TRUE())-NORMDIST((-H26-$A$129)/H18,0,1,TRUE()))</f>
        <v>0.18258359399588767</v>
      </c>
      <c r="Y129">
        <f>NORMDIST($A$129,0,$B$7,FALSE())*(NORMDIST((H61-$A$129)/H18,0,1,TRUE())-NORMDIST((-H61-$A$129)/H18,0,1,TRUE()))</f>
        <v>0.25630437888436552</v>
      </c>
      <c r="Z129">
        <f>NORMDIST($A$129,0,$B$7,FALSE())*(NORMDIST((J26-$A$129)/J18,0,1,TRUE())-NORMDIST((-J26-$A$129)/J18,0,1,TRUE()))</f>
        <v>0.25293226304470179</v>
      </c>
      <c r="AA129">
        <f>NORMDIST($A$129,0,$B$7,FALSE())*(NORMDIST((J61-$A$129)/J18,0,1,TRUE())-NORMDIST((-J61-$A$129)/J18,0,1,TRUE()))</f>
        <v>0.26381847646207202</v>
      </c>
      <c r="AB129">
        <f>NORMDIST($A$129,0,$B$7,FALSE())*(NORMDIST((K26-$A$129)/K18,0,1,TRUE())-NORMDIST((-K26-$A$129)/K18,0,1,TRUE()))</f>
        <v>0.2635116319598057</v>
      </c>
      <c r="AC129">
        <f>NORMDIST($A$129,0,$B$7,FALSE())*(NORMDIST((K61-$A$129)/K18,0,1,TRUE())-NORMDIST((-K61-$A$129)/K18,0,1,TRUE()))</f>
        <v>0.26391335402096033</v>
      </c>
      <c r="AD129">
        <f>NORMDIST($A$129,0,$B$7,FALSE())*(NORMDIST((L26-$A$129)/L18,0,1,TRUE())-NORMDIST((-L26-$A$129)/L18,0,1,TRUE()))</f>
        <v>0.26390992738515695</v>
      </c>
      <c r="AE129">
        <f>NORMDIST($A$129,0,$B$7,FALSE())*(NORMDIST((L61-$A$129)/L18,0,1,TRUE())-NORMDIST((-L61-$A$129)/L18,0,1,TRUE()))</f>
        <v>0.26391354638498982</v>
      </c>
      <c r="AF129">
        <f t="shared" ref="AF129:AK129" si="116">NORMDIST($A$129,0,$B$7,FALSE())*(NORMDIST((C216-$A$129)/C18,0,1,TRUE())-NORMDIST((-C216-$A$129)/C18,0,1,TRUE()))</f>
        <v>0.26115959546211653</v>
      </c>
      <c r="AG129">
        <f t="shared" si="116"/>
        <v>0.26388823966386848</v>
      </c>
      <c r="AH129">
        <f t="shared" si="116"/>
        <v>0.26390815477589968</v>
      </c>
      <c r="AI129">
        <f t="shared" si="116"/>
        <v>0.26391354638498982</v>
      </c>
      <c r="AJ129">
        <f t="shared" si="116"/>
        <v>0.26391354648478349</v>
      </c>
      <c r="AK129">
        <f t="shared" si="116"/>
        <v>0.26115959546211653</v>
      </c>
      <c r="AL129">
        <f>NORMDIST($A$129,0,$B$7,FALSE())*(NORMDIST((J216-$A$129)/J18,0,1,TRUE())-NORMDIST((-J216-$A$129)/J18,0,1,TRUE()))</f>
        <v>0.26388422194614936</v>
      </c>
      <c r="AM129">
        <f>NORMDIST($A$129,0,$B$7,FALSE())*(NORMDIST((K216-$A$129)/K18,0,1,TRUE())-NORMDIST((-K216-$A$129)/K18,0,1,TRUE()))</f>
        <v>0.26391343406560325</v>
      </c>
      <c r="AN129">
        <f>NORMDIST($A$129,0,$B$7,FALSE())*(NORMDIST((L216-$A$129)/L18,0,1,TRUE())-NORMDIST((-L216-$A$129)/L18,0,1,TRUE()))</f>
        <v>0.26391354638498982</v>
      </c>
      <c r="AO129">
        <f t="shared" ref="AO129:AT129" si="117">NORMDIST($A$129,0,$B$7,FALSE())*(NORMDIST(($B$5-$A$129)/C18,0,1,TRUE())-NORMDIST((-$B$5-$A$129)/C18,0,1,TRUE()))</f>
        <v>0.26208801862538522</v>
      </c>
      <c r="AP129">
        <f t="shared" si="117"/>
        <v>0.26388823966386848</v>
      </c>
      <c r="AQ129">
        <f t="shared" si="117"/>
        <v>0.26390815477589968</v>
      </c>
      <c r="AR129">
        <f t="shared" si="117"/>
        <v>0.26391354638498982</v>
      </c>
      <c r="AS129">
        <f t="shared" si="117"/>
        <v>0.26391354648478349</v>
      </c>
      <c r="AT129">
        <f t="shared" si="117"/>
        <v>0.26208801862538522</v>
      </c>
    </row>
    <row r="130" spans="1:46" ht="15" customHeight="1" x14ac:dyDescent="0.25">
      <c r="A130">
        <f>A102+28*2*$B$5/39</f>
        <v>0.87179487179487181</v>
      </c>
      <c r="N130">
        <f>NORMDIST($A$130,0,$B$7,FALSE())*(NORMDIST((C26-$A$130)/C18,0,1,TRUE())-NORMDIST((-C26-$A$130)/C18,0,1,TRUE()))</f>
        <v>0.15418127203672655</v>
      </c>
      <c r="O130">
        <f>NORMDIST($A$130,0,$B$7,FALSE())*(NORMDIST((C61-$A$130)/C18,0,1,TRUE())-NORMDIST((-C61-$A$130)/C18,0,1,TRUE()))</f>
        <v>0.23879685817679791</v>
      </c>
      <c r="P130">
        <f>NORMDIST($A$130,0,$B$7,FALSE())*(NORMDIST((D26-$A$130)/D18,0,1,TRUE())-NORMDIST((-D26-$A$130)/D18,0,1,TRUE()))</f>
        <v>0.23202070503020975</v>
      </c>
      <c r="Q130">
        <f>NORMDIST($A$130,0,$B$7,FALSE())*(NORMDIST((D61-$A$130)/D18,0,1,TRUE())-NORMDIST((-D61-$A$130)/D18,0,1,TRUE()))</f>
        <v>0.2498756774228986</v>
      </c>
      <c r="R130">
        <f>NORMDIST($A$130,0,$B$7,FALSE())*(NORMDIST((E26-$A$130)/E18,0,1,TRUE())-NORMDIST((-E26-$A$130)/E18,0,1,TRUE()))</f>
        <v>0.24113286836652384</v>
      </c>
      <c r="S130">
        <f>NORMDIST($A$130,0,$B$7,FALSE())*(NORMDIST((E61-$A$130)/E18,0,1,TRUE())-NORMDIST((-E61-$A$130)/E18,0,1,TRUE()))</f>
        <v>0.25005225963770739</v>
      </c>
      <c r="T130">
        <f>NORMDIST($A$130,0,$B$7,FALSE())*(NORMDIST((F26-$A$130)/F18,0,1,TRUE())-NORMDIST((-F26-$A$130)/F18,0,1,TRUE()))</f>
        <v>0.25007670530357407</v>
      </c>
      <c r="U130">
        <f>NORMDIST($A$130,0,$B$7,FALSE())*(NORMDIST((F61-$A$130)/F18,0,1,TRUE())-NORMDIST((-F61-$A$130)/F18,0,1,TRUE()))</f>
        <v>0.25010575267800078</v>
      </c>
      <c r="V130">
        <f>NORMDIST($A$130,0,$B$7,FALSE())*(NORMDIST((G26-$A$130)/G18,0,1,TRUE())-NORMDIST((-G26-$A$130)/G18,0,1,TRUE()))</f>
        <v>0.25010575479189689</v>
      </c>
      <c r="W130">
        <f>NORMDIST($A$130,0,$B$7,FALSE())*(NORMDIST((G61-$A$130)/G18,0,1,TRUE())-NORMDIST((-G61-$A$130)/G18,0,1,TRUE()))</f>
        <v>0.25010575479189689</v>
      </c>
      <c r="X130">
        <f>NORMDIST($A$130,0,$B$7,FALSE())*(NORMDIST((H26-$A$130)/H18,0,1,TRUE())-NORMDIST((-H26-$A$130)/H18,0,1,TRUE()))</f>
        <v>0.15418127203672655</v>
      </c>
      <c r="Y130">
        <f>NORMDIST($A$130,0,$B$7,FALSE())*(NORMDIST((H61-$A$130)/H18,0,1,TRUE())-NORMDIST((-H61-$A$130)/H18,0,1,TRUE()))</f>
        <v>0.23879685817679791</v>
      </c>
      <c r="Z130">
        <f>NORMDIST($A$130,0,$B$7,FALSE())*(NORMDIST((J26-$A$130)/J18,0,1,TRUE())-NORMDIST((-J26-$A$130)/J18,0,1,TRUE()))</f>
        <v>0.23081404617607876</v>
      </c>
      <c r="AA130">
        <f>NORMDIST($A$130,0,$B$7,FALSE())*(NORMDIST((J61-$A$130)/J18,0,1,TRUE())-NORMDIST((-J61-$A$130)/J18,0,1,TRUE()))</f>
        <v>0.24984161258190635</v>
      </c>
      <c r="AB130">
        <f>NORMDIST($A$130,0,$B$7,FALSE())*(NORMDIST((K26-$A$130)/K18,0,1,TRUE())-NORMDIST((-K26-$A$130)/K18,0,1,TRUE()))</f>
        <v>0.24876950795849823</v>
      </c>
      <c r="AC130">
        <f>NORMDIST($A$130,0,$B$7,FALSE())*(NORMDIST((K61-$A$130)/K18,0,1,TRUE())-NORMDIST((-K61-$A$130)/K18,0,1,TRUE()))</f>
        <v>0.25010444152981126</v>
      </c>
      <c r="AD130">
        <f>NORMDIST($A$130,0,$B$7,FALSE())*(NORMDIST((L26-$A$130)/L18,0,1,TRUE())-NORMDIST((-L26-$A$130)/L18,0,1,TRUE()))</f>
        <v>0.25007670530357407</v>
      </c>
      <c r="AE130">
        <f>NORMDIST($A$130,0,$B$7,FALSE())*(NORMDIST((L61-$A$130)/L18,0,1,TRUE())-NORMDIST((-L61-$A$130)/L18,0,1,TRUE()))</f>
        <v>0.25010575267800078</v>
      </c>
      <c r="AF130">
        <f t="shared" ref="AF130:AK130" si="118">NORMDIST($A$130,0,$B$7,FALSE())*(NORMDIST((C216-$A$130)/C18,0,1,TRUE())-NORMDIST((-C216-$A$130)/C18,0,1,TRUE()))</f>
        <v>0.24569464160419568</v>
      </c>
      <c r="AG130">
        <f t="shared" si="118"/>
        <v>0.25002710009719686</v>
      </c>
      <c r="AH130">
        <f t="shared" si="118"/>
        <v>0.25008456463914713</v>
      </c>
      <c r="AI130">
        <f t="shared" si="118"/>
        <v>0.25010575267800078</v>
      </c>
      <c r="AJ130">
        <f t="shared" si="118"/>
        <v>0.25010575479189689</v>
      </c>
      <c r="AK130">
        <f t="shared" si="118"/>
        <v>0.24569464160419568</v>
      </c>
      <c r="AL130">
        <f>NORMDIST($A$130,0,$B$7,FALSE())*(NORMDIST((J216-$A$130)/J18,0,1,TRUE())-NORMDIST((-J216-$A$130)/J18,0,1,TRUE()))</f>
        <v>0.25001661953464449</v>
      </c>
      <c r="AM130">
        <f>NORMDIST($A$130,0,$B$7,FALSE())*(NORMDIST((K216-$A$130)/K18,0,1,TRUE())-NORMDIST((-K216-$A$130)/K18,0,1,TRUE()))</f>
        <v>0.25010495481417538</v>
      </c>
      <c r="AN130">
        <f>NORMDIST($A$130,0,$B$7,FALSE())*(NORMDIST((L216-$A$130)/L18,0,1,TRUE())-NORMDIST((-L216-$A$130)/L18,0,1,TRUE()))</f>
        <v>0.25010575267800078</v>
      </c>
      <c r="AO130">
        <f t="shared" ref="AO130:AT130" si="119">NORMDIST($A$130,0,$B$7,FALSE())*(NORMDIST(($B$5-$A$130)/C18,0,1,TRUE())-NORMDIST((-$B$5-$A$130)/C18,0,1,TRUE()))</f>
        <v>0.24709886346027152</v>
      </c>
      <c r="AP130">
        <f t="shared" si="119"/>
        <v>0.25002710009719686</v>
      </c>
      <c r="AQ130">
        <f t="shared" si="119"/>
        <v>0.25008456463914713</v>
      </c>
      <c r="AR130">
        <f t="shared" si="119"/>
        <v>0.25010575267800078</v>
      </c>
      <c r="AS130">
        <f t="shared" si="119"/>
        <v>0.25010575479189689</v>
      </c>
      <c r="AT130">
        <f t="shared" si="119"/>
        <v>0.24709886346027152</v>
      </c>
    </row>
    <row r="131" spans="1:46" ht="15" customHeight="1" x14ac:dyDescent="0.25">
      <c r="A131">
        <f>A102+29*2*$B$5/39</f>
        <v>0.97435897435897445</v>
      </c>
      <c r="N131">
        <f>NORMDIST($A$131,0,$B$7,FALSE())*(NORMDIST((C26-$A$131)/C18,0,1,TRUE())-NORMDIST((-C26-$A$131)/C18,0,1,TRUE()))</f>
        <v>0.12627069986197581</v>
      </c>
      <c r="O131">
        <f>NORMDIST($A$131,0,$B$7,FALSE())*(NORMDIST((C61-$A$131)/C18,0,1,TRUE())-NORMDIST((-C61-$A$131)/C18,0,1,TRUE()))</f>
        <v>0.21933544468900926</v>
      </c>
      <c r="P131">
        <f>NORMDIST($A$131,0,$B$7,FALSE())*(NORMDIST((D26-$A$131)/D18,0,1,TRUE())-NORMDIST((-D26-$A$131)/D18,0,1,TRUE()))</f>
        <v>0.20589053168460589</v>
      </c>
      <c r="Q131">
        <f>NORMDIST($A$131,0,$B$7,FALSE())*(NORMDIST((D61-$A$131)/D18,0,1,TRUE())-NORMDIST((-D61-$A$131)/D18,0,1,TRUE()))</f>
        <v>0.23483969779775504</v>
      </c>
      <c r="R131">
        <f>NORMDIST($A$131,0,$B$7,FALSE())*(NORMDIST((E26-$A$131)/E18,0,1,TRUE())-NORMDIST((-E26-$A$131)/E18,0,1,TRUE()))</f>
        <v>0.21840948473570285</v>
      </c>
      <c r="S131">
        <f>NORMDIST($A$131,0,$B$7,FALSE())*(NORMDIST((E61-$A$131)/E18,0,1,TRUE())-NORMDIST((-E61-$A$131)/E18,0,1,TRUE()))</f>
        <v>0.23526049446284722</v>
      </c>
      <c r="T131">
        <f>NORMDIST($A$131,0,$B$7,FALSE())*(NORMDIST((F26-$A$131)/F18,0,1,TRUE())-NORMDIST((-F26-$A$131)/F18,0,1,TRUE()))</f>
        <v>0.2352530385788654</v>
      </c>
      <c r="U131">
        <f>NORMDIST($A$131,0,$B$7,FALSE())*(NORMDIST((F61-$A$131)/F18,0,1,TRUE())-NORMDIST((-F61-$A$131)/F18,0,1,TRUE()))</f>
        <v>0.2354335620026031</v>
      </c>
      <c r="V131">
        <f>NORMDIST($A$131,0,$B$7,FALSE())*(NORMDIST((G26-$A$131)/G18,0,1,TRUE())-NORMDIST((-G26-$A$131)/G18,0,1,TRUE()))</f>
        <v>0.2354335964368407</v>
      </c>
      <c r="W131">
        <f>NORMDIST($A$131,0,$B$7,FALSE())*(NORMDIST((G61-$A$131)/G18,0,1,TRUE())-NORMDIST((-G61-$A$131)/G18,0,1,TRUE()))</f>
        <v>0.2354335964368407</v>
      </c>
      <c r="X131">
        <f>NORMDIST($A$131,0,$B$7,FALSE())*(NORMDIST((H26-$A$131)/H18,0,1,TRUE())-NORMDIST((-H26-$A$131)/H18,0,1,TRUE()))</f>
        <v>0.12627069986197581</v>
      </c>
      <c r="Y131">
        <f>NORMDIST($A$131,0,$B$7,FALSE())*(NORMDIST((H61-$A$131)/H18,0,1,TRUE())-NORMDIST((-H61-$A$131)/H18,0,1,TRUE()))</f>
        <v>0.21933544468900926</v>
      </c>
      <c r="Z131">
        <f>NORMDIST($A$131,0,$B$7,FALSE())*(NORMDIST((J26-$A$131)/J18,0,1,TRUE())-NORMDIST((-J26-$A$131)/J18,0,1,TRUE()))</f>
        <v>0.20435315785018501</v>
      </c>
      <c r="AA131">
        <f>NORMDIST($A$131,0,$B$7,FALSE())*(NORMDIST((J61-$A$131)/J18,0,1,TRUE())-NORMDIST((-J61-$A$131)/J18,0,1,TRUE()))</f>
        <v>0.23476615757935207</v>
      </c>
      <c r="AB131">
        <f>NORMDIST($A$131,0,$B$7,FALSE())*(NORMDIST((K26-$A$131)/K18,0,1,TRUE())-NORMDIST((-K26-$A$131)/K18,0,1,TRUE()))</f>
        <v>0.23164922312565867</v>
      </c>
      <c r="AC131">
        <f>NORMDIST($A$131,0,$B$7,FALSE())*(NORMDIST((K61-$A$131)/K18,0,1,TRUE())-NORMDIST((-K61-$A$131)/K18,0,1,TRUE()))</f>
        <v>0.23542602320338984</v>
      </c>
      <c r="AD131">
        <f>NORMDIST($A$131,0,$B$7,FALSE())*(NORMDIST((L26-$A$131)/L18,0,1,TRUE())-NORMDIST((-L26-$A$131)/L18,0,1,TRUE()))</f>
        <v>0.2352530385788654</v>
      </c>
      <c r="AE131">
        <f>NORMDIST($A$131,0,$B$7,FALSE())*(NORMDIST((L61-$A$131)/L18,0,1,TRUE())-NORMDIST((-L61-$A$131)/L18,0,1,TRUE()))</f>
        <v>0.2354335620026031</v>
      </c>
      <c r="AF131">
        <f t="shared" ref="AF131:AK131" si="120">NORMDIST($A$131,0,$B$7,FALSE())*(NORMDIST((C216-$A$131)/C18,0,1,TRUE())-NORMDIST((-C216-$A$131)/C18,0,1,TRUE()))</f>
        <v>0.22867385119312181</v>
      </c>
      <c r="AG131">
        <f t="shared" si="120"/>
        <v>0.23521186968169261</v>
      </c>
      <c r="AH131">
        <f t="shared" si="120"/>
        <v>0.23535955592679614</v>
      </c>
      <c r="AI131">
        <f t="shared" si="120"/>
        <v>0.2354335620026031</v>
      </c>
      <c r="AJ131">
        <f t="shared" si="120"/>
        <v>0.2354335964368407</v>
      </c>
      <c r="AK131">
        <f t="shared" si="120"/>
        <v>0.22867385119312181</v>
      </c>
      <c r="AL131">
        <f>NORMDIST($A$131,0,$B$7,FALSE())*(NORMDIST((J216-$A$131)/J18,0,1,TRUE())-NORMDIST((-J216-$A$131)/J18,0,1,TRUE()))</f>
        <v>0.23518739261735194</v>
      </c>
      <c r="AM131">
        <f>NORMDIST($A$131,0,$B$7,FALSE())*(NORMDIST((K216-$A$131)/K18,0,1,TRUE())-NORMDIST((-K216-$A$131)/K18,0,1,TRUE()))</f>
        <v>0.23542878656849417</v>
      </c>
      <c r="AN131">
        <f>NORMDIST($A$131,0,$B$7,FALSE())*(NORMDIST((L216-$A$131)/L18,0,1,TRUE())-NORMDIST((-L216-$A$131)/L18,0,1,TRUE()))</f>
        <v>0.2354335620026031</v>
      </c>
      <c r="AO131">
        <f t="shared" ref="AO131:AT131" si="121">NORMDIST($A$131,0,$B$7,FALSE())*(NORMDIST(($B$5-$A$131)/C18,0,1,TRUE())-NORMDIST((-$B$5-$A$131)/C18,0,1,TRUE()))</f>
        <v>0.23069673250401815</v>
      </c>
      <c r="AP131">
        <f t="shared" si="121"/>
        <v>0.23521186968169261</v>
      </c>
      <c r="AQ131">
        <f t="shared" si="121"/>
        <v>0.23535955592679614</v>
      </c>
      <c r="AR131">
        <f t="shared" si="121"/>
        <v>0.2354335620026031</v>
      </c>
      <c r="AS131">
        <f t="shared" si="121"/>
        <v>0.2354335964368407</v>
      </c>
      <c r="AT131">
        <f t="shared" si="121"/>
        <v>0.23069673250401815</v>
      </c>
    </row>
    <row r="132" spans="1:46" ht="15" customHeight="1" x14ac:dyDescent="0.25">
      <c r="A132">
        <f>A102+30*2*$B$5/39</f>
        <v>1.0769230769230771</v>
      </c>
      <c r="N132">
        <f>NORMDIST($A$132,0,$B$7,FALSE())*(NORMDIST((C26-$A$132)/C18,0,1,TRUE())-NORMDIST((-C26-$A$132)/C18,0,1,TRUE()))</f>
        <v>0.10008951229137933</v>
      </c>
      <c r="O132">
        <f>NORMDIST($A$132,0,$B$7,FALSE())*(NORMDIST((C61-$A$132)/C18,0,1,TRUE())-NORMDIST((-C61-$A$132)/C18,0,1,TRUE()))</f>
        <v>0.19817525065116762</v>
      </c>
      <c r="P132">
        <f>NORMDIST($A$132,0,$B$7,FALSE())*(NORMDIST((D26-$A$132)/D18,0,1,TRUE())-NORMDIST((-D26-$A$132)/D18,0,1,TRUE()))</f>
        <v>0.17583795818623693</v>
      </c>
      <c r="Q132">
        <f>NORMDIST($A$132,0,$B$7,FALSE())*(NORMDIST((D61-$A$132)/D18,0,1,TRUE())-NORMDIST((-D61-$A$132)/D18,0,1,TRUE()))</f>
        <v>0.21874555459044848</v>
      </c>
      <c r="R132">
        <f>NORMDIST($A$132,0,$B$7,FALSE())*(NORMDIST((E26-$A$132)/E18,0,1,TRUE())-NORMDIST((-E26-$A$132)/E18,0,1,TRUE()))</f>
        <v>0.19107719427764283</v>
      </c>
      <c r="S132">
        <f>NORMDIST($A$132,0,$B$7,FALSE())*(NORMDIST((E61-$A$132)/E18,0,1,TRUE())-NORMDIST((-E61-$A$132)/E18,0,1,TRUE()))</f>
        <v>0.21963966626477721</v>
      </c>
      <c r="T132">
        <f>NORMDIST($A$132,0,$B$7,FALSE())*(NORMDIST((F26-$A$132)/F18,0,1,TRUE())-NORMDIST((-F26-$A$132)/F18,0,1,TRUE()))</f>
        <v>0.21926652095476445</v>
      </c>
      <c r="U132">
        <f>NORMDIST($A$132,0,$B$7,FALSE())*(NORMDIST((F61-$A$132)/F18,0,1,TRUE())-NORMDIST((-F61-$A$132)/F18,0,1,TRUE()))</f>
        <v>0.22013803585764072</v>
      </c>
      <c r="V132">
        <f>NORMDIST($A$132,0,$B$7,FALSE())*(NORMDIST((G26-$A$132)/G18,0,1,TRUE())-NORMDIST((-G26-$A$132)/G18,0,1,TRUE()))</f>
        <v>0.22013846773407897</v>
      </c>
      <c r="W132">
        <f>NORMDIST($A$132,0,$B$7,FALSE())*(NORMDIST((G61-$A$132)/G18,0,1,TRUE())-NORMDIST((-G61-$A$132)/G18,0,1,TRUE()))</f>
        <v>0.22013846773407897</v>
      </c>
      <c r="X132">
        <f>NORMDIST($A$132,0,$B$7,FALSE())*(NORMDIST((H26-$A$132)/H18,0,1,TRUE())-NORMDIST((-H26-$A$132)/H18,0,1,TRUE()))</f>
        <v>0.10008951229137933</v>
      </c>
      <c r="Y132">
        <f>NORMDIST($A$132,0,$B$7,FALSE())*(NORMDIST((H61-$A$132)/H18,0,1,TRUE())-NORMDIST((-H61-$A$132)/H18,0,1,TRUE()))</f>
        <v>0.19817525065116762</v>
      </c>
      <c r="Z132">
        <f>NORMDIST($A$132,0,$B$7,FALSE())*(NORMDIST((J26-$A$132)/J18,0,1,TRUE())-NORMDIST((-J26-$A$132)/J18,0,1,TRUE()))</f>
        <v>0.17408743536101434</v>
      </c>
      <c r="AA132">
        <f>NORMDIST($A$132,0,$B$7,FALSE())*(NORMDIST((J61-$A$132)/J18,0,1,TRUE())-NORMDIST((-J61-$A$132)/J18,0,1,TRUE()))</f>
        <v>0.21860319816906754</v>
      </c>
      <c r="AB132">
        <f>NORMDIST($A$132,0,$B$7,FALSE())*(NORMDIST((K26-$A$132)/K18,0,1,TRUE())-NORMDIST((-K26-$A$132)/K18,0,1,TRUE()))</f>
        <v>0.2109786389336902</v>
      </c>
      <c r="AC132">
        <f>NORMDIST($A$132,0,$B$7,FALSE())*(NORMDIST((K61-$A$132)/K18,0,1,TRUE())-NORMDIST((-K61-$A$132)/K18,0,1,TRUE()))</f>
        <v>0.22010151692080271</v>
      </c>
      <c r="AD132">
        <f>NORMDIST($A$132,0,$B$7,FALSE())*(NORMDIST((L26-$A$132)/L18,0,1,TRUE())-NORMDIST((-L26-$A$132)/L18,0,1,TRUE()))</f>
        <v>0.21926652095476445</v>
      </c>
      <c r="AE132">
        <f>NORMDIST($A$132,0,$B$7,FALSE())*(NORMDIST((L61-$A$132)/L18,0,1,TRUE())-NORMDIST((-L61-$A$132)/L18,0,1,TRUE()))</f>
        <v>0.22013803585764072</v>
      </c>
      <c r="AF132">
        <f t="shared" ref="AF132:AK132" si="122">NORMDIST($A$132,0,$B$7,FALSE())*(NORMDIST((C216-$A$132)/C18,0,1,TRUE())-NORMDIST((-C216-$A$132)/C18,0,1,TRUE()))</f>
        <v>0.21022274282303882</v>
      </c>
      <c r="AG132">
        <f t="shared" si="122"/>
        <v>0.21957109201434702</v>
      </c>
      <c r="AH132">
        <f t="shared" si="122"/>
        <v>0.21990825873930167</v>
      </c>
      <c r="AI132">
        <f t="shared" si="122"/>
        <v>0.22013803585764072</v>
      </c>
      <c r="AJ132">
        <f t="shared" si="122"/>
        <v>0.22013846773407897</v>
      </c>
      <c r="AK132">
        <f t="shared" si="122"/>
        <v>0.21022274282303882</v>
      </c>
      <c r="AL132">
        <f>NORMDIST($A$132,0,$B$7,FALSE())*(NORMDIST((J216-$A$132)/J18,0,1,TRUE())-NORMDIST((-J216-$A$132)/J18,0,1,TRUE()))</f>
        <v>0.21952000168076707</v>
      </c>
      <c r="AM132">
        <f>NORMDIST($A$132,0,$B$7,FALSE())*(NORMDIST((K216-$A$132)/K18,0,1,TRUE())-NORMDIST((-K216-$A$132)/K18,0,1,TRUE()))</f>
        <v>0.22011400722764451</v>
      </c>
      <c r="AN132">
        <f>NORMDIST($A$132,0,$B$7,FALSE())*(NORMDIST((L216-$A$132)/L18,0,1,TRUE())-NORMDIST((-L216-$A$132)/L18,0,1,TRUE()))</f>
        <v>0.22013803585764072</v>
      </c>
      <c r="AO132">
        <f t="shared" ref="AO132:AT132" si="123">NORMDIST($A$132,0,$B$7,FALSE())*(NORMDIST(($B$5-$A$132)/C18,0,1,TRUE())-NORMDIST((-$B$5-$A$132)/C18,0,1,TRUE()))</f>
        <v>0.21299829072806861</v>
      </c>
      <c r="AP132">
        <f t="shared" si="123"/>
        <v>0.21957109201434702</v>
      </c>
      <c r="AQ132">
        <f t="shared" si="123"/>
        <v>0.21990825873930167</v>
      </c>
      <c r="AR132">
        <f t="shared" si="123"/>
        <v>0.22013803585764072</v>
      </c>
      <c r="AS132">
        <f t="shared" si="123"/>
        <v>0.22013846773407897</v>
      </c>
      <c r="AT132">
        <f t="shared" si="123"/>
        <v>0.21299829072806861</v>
      </c>
    </row>
    <row r="133" spans="1:46" ht="15" customHeight="1" x14ac:dyDescent="0.25">
      <c r="A133">
        <f>A102+31*2*$B$5/39</f>
        <v>1.1794871794871793</v>
      </c>
      <c r="N133">
        <f>NORMDIST($A$133,0,$B$7,FALSE())*(NORMDIST((C26-$A$133)/C18,0,1,TRUE())-NORMDIST((-C26-$A$133)/C18,0,1,TRUE()))</f>
        <v>7.6645035237730391E-2</v>
      </c>
      <c r="O133">
        <f>NORMDIST($A$133,0,$B$7,FALSE())*(NORMDIST((C61-$A$133)/C18,0,1,TRUE())-NORMDIST((-C61-$A$133)/C18,0,1,TRUE()))</f>
        <v>0.17571695218467667</v>
      </c>
      <c r="P133">
        <f>NORMDIST($A$133,0,$B$7,FALSE())*(NORMDIST((D26-$A$133)/D18,0,1,TRUE())-NORMDIST((-D26-$A$133)/D18,0,1,TRUE()))</f>
        <v>0.14326352995540567</v>
      </c>
      <c r="Q133">
        <f>NORMDIST($A$133,0,$B$7,FALSE())*(NORMDIST((D61-$A$133)/D18,0,1,TRUE())-NORMDIST((-D61-$A$133)/D18,0,1,TRUE()))</f>
        <v>0.20148717207128336</v>
      </c>
      <c r="R133">
        <f>NORMDIST($A$133,0,$B$7,FALSE())*(NORMDIST((E26-$A$133)/E18,0,1,TRUE())-NORMDIST((-E26-$A$133)/E18,0,1,TRUE()))</f>
        <v>0.15965032237961377</v>
      </c>
      <c r="S133">
        <f>NORMDIST($A$133,0,$B$7,FALSE())*(NORMDIST((E61-$A$133)/E18,0,1,TRUE())-NORMDIST((-E61-$A$133)/E18,0,1,TRUE()))</f>
        <v>0.20317742366511846</v>
      </c>
      <c r="T133">
        <f>NORMDIST($A$133,0,$B$7,FALSE())*(NORMDIST((F26-$A$133)/F18,0,1,TRUE())-NORMDIST((-F26-$A$133)/F18,0,1,TRUE()))</f>
        <v>0.2011724954105924</v>
      </c>
      <c r="U133">
        <f>NORMDIST($A$133,0,$B$7,FALSE())*(NORMDIST((F61-$A$133)/F18,0,1,TRUE())-NORMDIST((-F61-$A$133)/F18,0,1,TRUE()))</f>
        <v>0.20445480389019138</v>
      </c>
      <c r="V133">
        <f>NORMDIST($A$133,0,$B$7,FALSE())*(NORMDIST((G26-$A$133)/G18,0,1,TRUE())-NORMDIST((-G26-$A$133)/G18,0,1,TRUE()))</f>
        <v>0.20445898095240989</v>
      </c>
      <c r="W133">
        <f>NORMDIST($A$133,0,$B$7,FALSE())*(NORMDIST((G61-$A$133)/G18,0,1,TRUE())-NORMDIST((-G61-$A$133)/G18,0,1,TRUE()))</f>
        <v>0.20445898095240989</v>
      </c>
      <c r="X133">
        <f>NORMDIST($A$133,0,$B$7,FALSE())*(NORMDIST((H26-$A$133)/H18,0,1,TRUE())-NORMDIST((-H26-$A$133)/H18,0,1,TRUE()))</f>
        <v>7.6645035237730391E-2</v>
      </c>
      <c r="Y133">
        <f>NORMDIST($A$133,0,$B$7,FALSE())*(NORMDIST((H61-$A$133)/H18,0,1,TRUE())-NORMDIST((-H61-$A$133)/H18,0,1,TRUE()))</f>
        <v>0.17571695218467667</v>
      </c>
      <c r="Z133">
        <f>NORMDIST($A$133,0,$B$7,FALSE())*(NORMDIST((J26-$A$133)/J18,0,1,TRUE())-NORMDIST((-J26-$A$133)/J18,0,1,TRUE()))</f>
        <v>0.14148641052341798</v>
      </c>
      <c r="AA133">
        <f>NORMDIST($A$133,0,$B$7,FALSE())*(NORMDIST((J61-$A$133)/J18,0,1,TRUE())-NORMDIST((-J61-$A$133)/J18,0,1,TRUE()))</f>
        <v>0.20124039355426201</v>
      </c>
      <c r="AB133">
        <f>NORMDIST($A$133,0,$B$7,FALSE())*(NORMDIST((K26-$A$133)/K18,0,1,TRUE())-NORMDIST((-K26-$A$133)/K18,0,1,TRUE()))</f>
        <v>0.18542885141136969</v>
      </c>
      <c r="AC133">
        <f>NORMDIST($A$133,0,$B$7,FALSE())*(NORMDIST((K61-$A$133)/K18,0,1,TRUE())-NORMDIST((-K61-$A$133)/K18,0,1,TRUE()))</f>
        <v>0.20430623020328983</v>
      </c>
      <c r="AD133">
        <f>NORMDIST($A$133,0,$B$7,FALSE())*(NORMDIST((L26-$A$133)/L18,0,1,TRUE())-NORMDIST((-L26-$A$133)/L18,0,1,TRUE()))</f>
        <v>0.2011724954105924</v>
      </c>
      <c r="AE133">
        <f>NORMDIST($A$133,0,$B$7,FALSE())*(NORMDIST((L61-$A$133)/L18,0,1,TRUE())-NORMDIST((-L61-$A$133)/L18,0,1,TRUE()))</f>
        <v>0.20445480389019138</v>
      </c>
      <c r="AF133">
        <f t="shared" ref="AF133:AK133" si="124">NORMDIST($A$133,0,$B$7,FALSE())*(NORMDIST((C216-$A$133)/C18,0,1,TRUE())-NORMDIST((-C216-$A$133)/C18,0,1,TRUE()))</f>
        <v>0.19052786522895049</v>
      </c>
      <c r="AG133">
        <f t="shared" si="124"/>
        <v>0.20313979188647896</v>
      </c>
      <c r="AH133">
        <f t="shared" si="124"/>
        <v>0.20382135335617133</v>
      </c>
      <c r="AI133">
        <f t="shared" si="124"/>
        <v>0.20445480389019138</v>
      </c>
      <c r="AJ133">
        <f t="shared" si="124"/>
        <v>0.20445898095240989</v>
      </c>
      <c r="AK133">
        <f t="shared" si="124"/>
        <v>0.19052786522895049</v>
      </c>
      <c r="AL133">
        <f>NORMDIST($A$133,0,$B$7,FALSE())*(NORMDIST((J216-$A$133)/J18,0,1,TRUE())-NORMDIST((-J216-$A$133)/J18,0,1,TRUE()))</f>
        <v>0.20304471197098167</v>
      </c>
      <c r="AM133">
        <f>NORMDIST($A$133,0,$B$7,FALSE())*(NORMDIST((K216-$A$133)/K18,0,1,TRUE())-NORMDIST((-K216-$A$133)/K18,0,1,TRUE()))</f>
        <v>0.20435362849298358</v>
      </c>
      <c r="AN133">
        <f>NORMDIST($A$133,0,$B$7,FALSE())*(NORMDIST((L216-$A$133)/L18,0,1,TRUE())-NORMDIST((-L216-$A$133)/L18,0,1,TRUE()))</f>
        <v>0.20445480389019138</v>
      </c>
      <c r="AO133">
        <f t="shared" ref="AO133:AT133" si="125">NORMDIST($A$133,0,$B$7,FALSE())*(NORMDIST(($B$5-$A$133)/C18,0,1,TRUE())-NORMDIST((-$B$5-$A$133)/C18,0,1,TRUE()))</f>
        <v>0.19415505665009389</v>
      </c>
      <c r="AP133">
        <f t="shared" si="125"/>
        <v>0.20313979188647896</v>
      </c>
      <c r="AQ133">
        <f t="shared" si="125"/>
        <v>0.20382135335617133</v>
      </c>
      <c r="AR133">
        <f t="shared" si="125"/>
        <v>0.20445480389019138</v>
      </c>
      <c r="AS133">
        <f t="shared" si="125"/>
        <v>0.20445898095240989</v>
      </c>
      <c r="AT133">
        <f t="shared" si="125"/>
        <v>0.19415505665009389</v>
      </c>
    </row>
    <row r="134" spans="1:46" ht="15" customHeight="1" x14ac:dyDescent="0.25">
      <c r="A134">
        <f>A102+32*2*$B$5/39</f>
        <v>1.2820512820512819</v>
      </c>
      <c r="N134">
        <f>NORMDIST($A$134,0,$B$7,FALSE())*(NORMDIST((C26-$A$134)/C18,0,1,TRUE())-NORMDIST((-C26-$A$134)/C18,0,1,TRUE()))</f>
        <v>5.6606643793472119E-2</v>
      </c>
      <c r="O134">
        <f>NORMDIST($A$134,0,$B$7,FALSE())*(NORMDIST((C61-$A$134)/C18,0,1,TRUE())-NORMDIST((-C61-$A$134)/C18,0,1,TRUE()))</f>
        <v>0.1525148525747452</v>
      </c>
      <c r="P134">
        <f>NORMDIST($A$134,0,$B$7,FALSE())*(NORMDIST((D26-$A$134)/D18,0,1,TRUE())-NORMDIST((-D26-$A$134)/D18,0,1,TRUE()))</f>
        <v>0.11041183084567827</v>
      </c>
      <c r="Q134">
        <f>NORMDIST($A$134,0,$B$7,FALSE())*(NORMDIST((D61-$A$134)/D18,0,1,TRUE())-NORMDIST((-D61-$A$134)/D18,0,1,TRUE()))</f>
        <v>0.18284898191068547</v>
      </c>
      <c r="R134">
        <f>NORMDIST($A$134,0,$B$7,FALSE())*(NORMDIST((E26-$A$134)/E18,0,1,TRUE())-NORMDIST((-E26-$A$134)/E18,0,1,TRUE()))</f>
        <v>0.12591690395386559</v>
      </c>
      <c r="S134">
        <f>NORMDIST($A$134,0,$B$7,FALSE())*(NORMDIST((E61-$A$134)/E18,0,1,TRUE())-NORMDIST((-E61-$A$134)/E18,0,1,TRUE()))</f>
        <v>0.18568457099266222</v>
      </c>
      <c r="T134">
        <f>NORMDIST($A$134,0,$B$7,FALSE())*(NORMDIST((F26-$A$134)/F18,0,1,TRUE())-NORMDIST((-F26-$A$134)/F18,0,1,TRUE()))</f>
        <v>0.17889610409215428</v>
      </c>
      <c r="U134">
        <f>NORMDIST($A$134,0,$B$7,FALSE())*(NORMDIST((F61-$A$134)/F18,0,1,TRUE())-NORMDIST((-F61-$A$134)/F18,0,1,TRUE()))</f>
        <v>0.18859375704489018</v>
      </c>
      <c r="V134">
        <f>NORMDIST($A$134,0,$B$7,FALSE())*(NORMDIST((G26-$A$134)/G18,0,1,TRUE())-NORMDIST((-G26-$A$134)/G18,0,1,TRUE()))</f>
        <v>0.18862497479824472</v>
      </c>
      <c r="W134">
        <f>NORMDIST($A$134,0,$B$7,FALSE())*(NORMDIST((G61-$A$134)/G18,0,1,TRUE())-NORMDIST((-G61-$A$134)/G18,0,1,TRUE()))</f>
        <v>0.18862497479824472</v>
      </c>
      <c r="X134">
        <f>NORMDIST($A$134,0,$B$7,FALSE())*(NORMDIST((H26-$A$134)/H18,0,1,TRUE())-NORMDIST((-H26-$A$134)/H18,0,1,TRUE()))</f>
        <v>5.6606643793472119E-2</v>
      </c>
      <c r="Y134">
        <f>NORMDIST($A$134,0,$B$7,FALSE())*(NORMDIST((H61-$A$134)/H18,0,1,TRUE())-NORMDIST((-H61-$A$134)/H18,0,1,TRUE()))</f>
        <v>0.1525148525747452</v>
      </c>
      <c r="Z134">
        <f>NORMDIST($A$134,0,$B$7,FALSE())*(NORMDIST((J26-$A$134)/J18,0,1,TRUE())-NORMDIST((-J26-$A$134)/J18,0,1,TRUE()))</f>
        <v>0.10880866125167095</v>
      </c>
      <c r="AA134">
        <f>NORMDIST($A$134,0,$B$7,FALSE())*(NORMDIST((J61-$A$134)/J18,0,1,TRUE())-NORMDIST((-J61-$A$134)/J18,0,1,TRUE()))</f>
        <v>0.18246651905067993</v>
      </c>
      <c r="AB134">
        <f>NORMDIST($A$134,0,$B$7,FALSE())*(NORMDIST((K26-$A$134)/K18,0,1,TRUE())-NORMDIST((-K26-$A$134)/K18,0,1,TRUE()))</f>
        <v>0.15449548210428796</v>
      </c>
      <c r="AC134">
        <f>NORMDIST($A$134,0,$B$7,FALSE())*(NORMDIST((K61-$A$134)/K18,0,1,TRUE())-NORMDIST((-K61-$A$134)/K18,0,1,TRUE()))</f>
        <v>0.18808902997847154</v>
      </c>
      <c r="AD134">
        <f>NORMDIST($A$134,0,$B$7,FALSE())*(NORMDIST((L26-$A$134)/L18,0,1,TRUE())-NORMDIST((-L26-$A$134)/L18,0,1,TRUE()))</f>
        <v>0.17889610409215428</v>
      </c>
      <c r="AE134">
        <f>NORMDIST($A$134,0,$B$7,FALSE())*(NORMDIST((L61-$A$134)/L18,0,1,TRUE())-NORMDIST((-L61-$A$134)/L18,0,1,TRUE()))</f>
        <v>0.18859375704489018</v>
      </c>
      <c r="AF134">
        <f t="shared" ref="AF134:AK134" si="126">NORMDIST($A$134,0,$B$7,FALSE())*(NORMDIST((C216-$A$134)/C18,0,1,TRUE())-NORMDIST((-C216-$A$134)/C18,0,1,TRUE()))</f>
        <v>0.16986604578585893</v>
      </c>
      <c r="AG134">
        <f t="shared" si="126"/>
        <v>0.1858347379225313</v>
      </c>
      <c r="AH134">
        <f t="shared" si="126"/>
        <v>0.18704959352883854</v>
      </c>
      <c r="AI134">
        <f t="shared" si="126"/>
        <v>0.18859375704489018</v>
      </c>
      <c r="AJ134">
        <f t="shared" si="126"/>
        <v>0.18862497479824472</v>
      </c>
      <c r="AK134">
        <f t="shared" si="126"/>
        <v>0.16986604578585893</v>
      </c>
      <c r="AL134">
        <f>NORMDIST($A$134,0,$B$7,FALSE())*(NORMDIST((J216-$A$134)/J18,0,1,TRUE())-NORMDIST((-J216-$A$134)/J18,0,1,TRUE()))</f>
        <v>0.18567749841485531</v>
      </c>
      <c r="AM134">
        <f>NORMDIST($A$134,0,$B$7,FALSE())*(NORMDIST((K216-$A$134)/K18,0,1,TRUE())-NORMDIST((-K216-$A$134)/K18,0,1,TRUE()))</f>
        <v>0.18824004045131579</v>
      </c>
      <c r="AN134">
        <f>NORMDIST($A$134,0,$B$7,FALSE())*(NORMDIST((L216-$A$134)/L18,0,1,TRUE())-NORMDIST((-L216-$A$134)/L18,0,1,TRUE()))</f>
        <v>0.18859375704489018</v>
      </c>
      <c r="AO134">
        <f t="shared" ref="AO134:AT134" si="127">NORMDIST($A$134,0,$B$7,FALSE())*(NORMDIST(($B$5-$A$134)/C18,0,1,TRUE())-NORMDIST((-$B$5-$A$134)/C18,0,1,TRUE()))</f>
        <v>0.17438081569013669</v>
      </c>
      <c r="AP134">
        <f t="shared" si="127"/>
        <v>0.1858347379225313</v>
      </c>
      <c r="AQ134">
        <f t="shared" si="127"/>
        <v>0.18704959352883854</v>
      </c>
      <c r="AR134">
        <f t="shared" si="127"/>
        <v>0.18859375704489018</v>
      </c>
      <c r="AS134">
        <f t="shared" si="127"/>
        <v>0.18862497479824472</v>
      </c>
      <c r="AT134">
        <f t="shared" si="127"/>
        <v>0.17438081569013669</v>
      </c>
    </row>
    <row r="135" spans="1:46" ht="15" customHeight="1" x14ac:dyDescent="0.25">
      <c r="A135">
        <f>A102+33*2*$B$5/39</f>
        <v>1.3846153846153846</v>
      </c>
      <c r="N135">
        <f>NORMDIST($A$135,0,$B$7,FALSE())*(NORMDIST((C26-$A$135)/C18,0,1,TRUE())-NORMDIST((-C26-$A$135)/C18,0,1,TRUE()))</f>
        <v>4.0262379678550987E-2</v>
      </c>
      <c r="O135">
        <f>NORMDIST($A$135,0,$B$7,FALSE())*(NORMDIST((C61-$A$135)/C18,0,1,TRUE())-NORMDIST((-C61-$A$135)/C18,0,1,TRUE()))</f>
        <v>0.12925314162832577</v>
      </c>
      <c r="P135">
        <f>NORMDIST($A$135,0,$B$7,FALSE())*(NORMDIST((D26-$A$135)/D18,0,1,TRUE())-NORMDIST((-D26-$A$135)/D18,0,1,TRUE()))</f>
        <v>7.987133098588832E-2</v>
      </c>
      <c r="Q135">
        <f>NORMDIST($A$135,0,$B$7,FALSE())*(NORMDIST((D61-$A$135)/D18,0,1,TRUE())-NORMDIST((-D61-$A$135)/D18,0,1,TRUE()))</f>
        <v>0.16260735604378482</v>
      </c>
      <c r="R135">
        <f>NORMDIST($A$135,0,$B$7,FALSE())*(NORMDIST((E26-$A$135)/E18,0,1,TRUE())-NORMDIST((-E26-$A$135)/E18,0,1,TRUE()))</f>
        <v>9.2712009441734106E-2</v>
      </c>
      <c r="S135">
        <f>NORMDIST($A$135,0,$B$7,FALSE())*(NORMDIST((E61-$A$135)/E18,0,1,TRUE())-NORMDIST((-E61-$A$135)/E18,0,1,TRUE()))</f>
        <v>0.1668158919026512</v>
      </c>
      <c r="T135">
        <f>NORMDIST($A$135,0,$B$7,FALSE())*(NORMDIST((F26-$A$135)/F18,0,1,TRUE())-NORMDIST((-F26-$A$135)/F18,0,1,TRUE()))</f>
        <v>0.15003336995003247</v>
      </c>
      <c r="U135">
        <f>NORMDIST($A$135,0,$B$7,FALSE())*(NORMDIST((F61-$A$135)/F18,0,1,TRUE())-NORMDIST((-F61-$A$135)/F18,0,1,TRUE()))</f>
        <v>0.17267145492287322</v>
      </c>
      <c r="V135">
        <f>NORMDIST($A$135,0,$B$7,FALSE())*(NORMDIST((G26-$A$135)/G18,0,1,TRUE())-NORMDIST((-G26-$A$135)/G18,0,1,TRUE()))</f>
        <v>0.17285221449185173</v>
      </c>
      <c r="W135">
        <f>NORMDIST($A$135,0,$B$7,FALSE())*(NORMDIST((G61-$A$135)/G18,0,1,TRUE())-NORMDIST((-G61-$A$135)/G18,0,1,TRUE()))</f>
        <v>0.17285221449185173</v>
      </c>
      <c r="X135">
        <f>NORMDIST($A$135,0,$B$7,FALSE())*(NORMDIST((H26-$A$135)/H18,0,1,TRUE())-NORMDIST((-H26-$A$135)/H18,0,1,TRUE()))</f>
        <v>4.0262379678550987E-2</v>
      </c>
      <c r="Y135">
        <f>NORMDIST($A$135,0,$B$7,FALSE())*(NORMDIST((H61-$A$135)/H18,0,1,TRUE())-NORMDIST((-H61-$A$135)/H18,0,1,TRUE()))</f>
        <v>0.12925314162832577</v>
      </c>
      <c r="Z135">
        <f>NORMDIST($A$135,0,$B$7,FALSE())*(NORMDIST((J26-$A$135)/J18,0,1,TRUE())-NORMDIST((-J26-$A$135)/J18,0,1,TRUE()))</f>
        <v>7.8592423359119118E-2</v>
      </c>
      <c r="AA135">
        <f>NORMDIST($A$135,0,$B$7,FALSE())*(NORMDIST((J61-$A$135)/J18,0,1,TRUE())-NORMDIST((-J61-$A$135)/J18,0,1,TRUE()))</f>
        <v>0.16207861154511066</v>
      </c>
      <c r="AB135">
        <f>NORMDIST($A$135,0,$B$7,FALSE())*(NORMDIST((K26-$A$135)/K18,0,1,TRUE())-NORMDIST((-K26-$A$135)/K18,0,1,TRUE()))</f>
        <v>0.11961440512690957</v>
      </c>
      <c r="AC135">
        <f>NORMDIST($A$135,0,$B$7,FALSE())*(NORMDIST((K61-$A$135)/K18,0,1,TRUE())-NORMDIST((-K61-$A$135)/K18,0,1,TRUE()))</f>
        <v>0.17125264330287729</v>
      </c>
      <c r="AD135">
        <f>NORMDIST($A$135,0,$B$7,FALSE())*(NORMDIST((L26-$A$135)/L18,0,1,TRUE())-NORMDIST((-L26-$A$135)/L18,0,1,TRUE()))</f>
        <v>0.15003336995003247</v>
      </c>
      <c r="AE135">
        <f>NORMDIST($A$135,0,$B$7,FALSE())*(NORMDIST((L61-$A$135)/L18,0,1,TRUE())-NORMDIST((-L61-$A$135)/L18,0,1,TRUE()))</f>
        <v>0.17267145492287322</v>
      </c>
      <c r="AF135">
        <f t="shared" ref="AF135:AK135" si="128">NORMDIST($A$135,0,$B$7,FALSE())*(NORMDIST((C216-$A$135)/C18,0,1,TRUE())-NORMDIST((-C216-$A$135)/C18,0,1,TRUE()))</f>
        <v>0.14862361273407249</v>
      </c>
      <c r="AG135">
        <f t="shared" si="128"/>
        <v>0.16747571707177142</v>
      </c>
      <c r="AH135">
        <f t="shared" si="128"/>
        <v>0.16937447224122515</v>
      </c>
      <c r="AI135">
        <f t="shared" si="128"/>
        <v>0.17267145492287322</v>
      </c>
      <c r="AJ135">
        <f t="shared" si="128"/>
        <v>0.17285221449185173</v>
      </c>
      <c r="AK135">
        <f t="shared" si="128"/>
        <v>0.14862361273407249</v>
      </c>
      <c r="AL135">
        <f>NORMDIST($A$135,0,$B$7,FALSE())*(NORMDIST((J216-$A$135)/J18,0,1,TRUE())-NORMDIST((-J216-$A$135)/J18,0,1,TRUE()))</f>
        <v>0.1672457641260067</v>
      </c>
      <c r="AM135">
        <f>NORMDIST($A$135,0,$B$7,FALSE())*(NORMDIST((K216-$A$135)/K18,0,1,TRUE())-NORMDIST((-K216-$A$135)/K18,0,1,TRUE()))</f>
        <v>0.17165657356579281</v>
      </c>
      <c r="AN135">
        <f>NORMDIST($A$135,0,$B$7,FALSE())*(NORMDIST((L216-$A$135)/L18,0,1,TRUE())-NORMDIST((-L216-$A$135)/L18,0,1,TRUE()))</f>
        <v>0.17267145492287322</v>
      </c>
      <c r="AO135">
        <f t="shared" ref="AO135:AT135" si="129">NORMDIST($A$135,0,$B$7,FALSE())*(NORMDIST(($B$5-$A$135)/C18,0,1,TRUE())-NORMDIST((-$B$5-$A$135)/C18,0,1,TRUE()))</f>
        <v>0.15397595870448275</v>
      </c>
      <c r="AP135">
        <f t="shared" si="129"/>
        <v>0.16747571707177142</v>
      </c>
      <c r="AQ135">
        <f t="shared" si="129"/>
        <v>0.16937447224122515</v>
      </c>
      <c r="AR135">
        <f t="shared" si="129"/>
        <v>0.17267145492287322</v>
      </c>
      <c r="AS135">
        <f t="shared" si="129"/>
        <v>0.17285221449185173</v>
      </c>
      <c r="AT135">
        <f t="shared" si="129"/>
        <v>0.15397595870448275</v>
      </c>
    </row>
    <row r="136" spans="1:46" ht="15" customHeight="1" x14ac:dyDescent="0.25">
      <c r="A136">
        <f>A102+34*2*$B$5/39</f>
        <v>1.4871794871794872</v>
      </c>
      <c r="N136">
        <f>NORMDIST($A$136,0,$B$7,FALSE())*(NORMDIST((C26-$A$136)/C18,0,1,TRUE())-NORMDIST((-C26-$A$136)/C18,0,1,TRUE()))</f>
        <v>2.7543439251784343E-2</v>
      </c>
      <c r="O136">
        <f>NORMDIST($A$136,0,$B$7,FALSE())*(NORMDIST((C61-$A$136)/C18,0,1,TRUE())-NORMDIST((-C61-$A$136)/C18,0,1,TRUE()))</f>
        <v>0.10668849058901168</v>
      </c>
      <c r="P136">
        <f>NORMDIST($A$136,0,$B$7,FALSE())*(NORMDIST((D26-$A$136)/D18,0,1,TRUE())-NORMDIST((-D26-$A$136)/D18,0,1,TRUE()))</f>
        <v>5.3868083860112902E-2</v>
      </c>
      <c r="Q136">
        <f>NORMDIST($A$136,0,$B$7,FALSE())*(NORMDIST((D61-$A$136)/D18,0,1,TRUE())-NORMDIST((-D61-$A$136)/D18,0,1,TRUE()))</f>
        <v>0.14071910883070626</v>
      </c>
      <c r="R136">
        <f>NORMDIST($A$136,0,$B$7,FALSE())*(NORMDIST((E26-$A$136)/E18,0,1,TRUE())-NORMDIST((-E26-$A$136)/E18,0,1,TRUE()))</f>
        <v>6.3102322996766241E-2</v>
      </c>
      <c r="S136">
        <f>NORMDIST($A$136,0,$B$7,FALSE())*(NORMDIST((E61-$A$136)/E18,0,1,TRUE())-NORMDIST((-E61-$A$136)/E18,0,1,TRUE()))</f>
        <v>0.14622361223155061</v>
      </c>
      <c r="T136">
        <f>NORMDIST($A$136,0,$B$7,FALSE())*(NORMDIST((F26-$A$136)/F18,0,1,TRUE())-NORMDIST((-F26-$A$136)/F18,0,1,TRUE()))</f>
        <v>0.11440234486899398</v>
      </c>
      <c r="U136">
        <f>NORMDIST($A$136,0,$B$7,FALSE())*(NORMDIST((F61-$A$136)/F18,0,1,TRUE())-NORMDIST((-F61-$A$136)/F18,0,1,TRUE()))</f>
        <v>0.15652416172698985</v>
      </c>
      <c r="V136">
        <f>NORMDIST($A$136,0,$B$7,FALSE())*(NORMDIST((G26-$A$136)/G18,0,1,TRUE())-NORMDIST((-G26-$A$136)/G18,0,1,TRUE()))</f>
        <v>0.15733793691737982</v>
      </c>
      <c r="W136">
        <f>NORMDIST($A$136,0,$B$7,FALSE())*(NORMDIST((G61-$A$136)/G18,0,1,TRUE())-NORMDIST((-G61-$A$136)/G18,0,1,TRUE()))</f>
        <v>0.15733793691737982</v>
      </c>
      <c r="X136">
        <f>NORMDIST($A$136,0,$B$7,FALSE())*(NORMDIST((H26-$A$136)/H18,0,1,TRUE())-NORMDIST((-H26-$A$136)/H18,0,1,TRUE()))</f>
        <v>2.7543439251784343E-2</v>
      </c>
      <c r="Y136">
        <f>NORMDIST($A$136,0,$B$7,FALSE())*(NORMDIST((H61-$A$136)/H18,0,1,TRUE())-NORMDIST((-H61-$A$136)/H18,0,1,TRUE()))</f>
        <v>0.10668849058901168</v>
      </c>
      <c r="Z136">
        <f>NORMDIST($A$136,0,$B$7,FALSE())*(NORMDIST((J26-$A$136)/J18,0,1,TRUE())-NORMDIST((-J26-$A$136)/J18,0,1,TRUE()))</f>
        <v>5.2972688591069864E-2</v>
      </c>
      <c r="AA136">
        <f>NORMDIST($A$136,0,$B$7,FALSE())*(NORMDIST((J61-$A$136)/J18,0,1,TRUE())-NORMDIST((-J61-$A$136)/J18,0,1,TRUE()))</f>
        <v>0.14006910142404971</v>
      </c>
      <c r="AB136">
        <f>NORMDIST($A$136,0,$B$7,FALSE())*(NORMDIST((K26-$A$136)/K18,0,1,TRUE())-NORMDIST((-K26-$A$136)/K18,0,1,TRUE()))</f>
        <v>8.4390682155331728E-2</v>
      </c>
      <c r="AC136">
        <f>NORMDIST($A$136,0,$B$7,FALSE())*(NORMDIST((K61-$A$136)/K18,0,1,TRUE())-NORMDIST((-K61-$A$136)/K18,0,1,TRUE()))</f>
        <v>0.15326522633967501</v>
      </c>
      <c r="AD136">
        <f>NORMDIST($A$136,0,$B$7,FALSE())*(NORMDIST((L26-$A$136)/L18,0,1,TRUE())-NORMDIST((-L26-$A$136)/L18,0,1,TRUE()))</f>
        <v>0.11440234486899398</v>
      </c>
      <c r="AE136">
        <f>NORMDIST($A$136,0,$B$7,FALSE())*(NORMDIST((L61-$A$136)/L18,0,1,TRUE())-NORMDIST((-L61-$A$136)/L18,0,1,TRUE()))</f>
        <v>0.15652416172698985</v>
      </c>
      <c r="AF136">
        <f t="shared" ref="AF136:AK136" si="130">NORMDIST($A$136,0,$B$7,FALSE())*(NORMDIST((C216-$A$136)/C18,0,1,TRUE())-NORMDIST((-C216-$A$136)/C18,0,1,TRUE()))</f>
        <v>0.12729551044860105</v>
      </c>
      <c r="AG136">
        <f t="shared" si="130"/>
        <v>0.1478831819973668</v>
      </c>
      <c r="AH136">
        <f t="shared" si="130"/>
        <v>0.15046411271950297</v>
      </c>
      <c r="AI136">
        <f t="shared" si="130"/>
        <v>0.15652416172698985</v>
      </c>
      <c r="AJ136">
        <f t="shared" si="130"/>
        <v>0.15733793691737982</v>
      </c>
      <c r="AK136">
        <f t="shared" si="130"/>
        <v>0.12729551044860105</v>
      </c>
      <c r="AL136">
        <f>NORMDIST($A$136,0,$B$7,FALSE())*(NORMDIST((J216-$A$136)/J18,0,1,TRUE())-NORMDIST((-J216-$A$136)/J18,0,1,TRUE()))</f>
        <v>0.14758803493000852</v>
      </c>
      <c r="AM136">
        <f>NORMDIST($A$136,0,$B$7,FALSE())*(NORMDIST((K216-$A$136)/K18,0,1,TRUE())-NORMDIST((-K216-$A$136)/K18,0,1,TRUE()))</f>
        <v>0.15417233795497956</v>
      </c>
      <c r="AN136">
        <f>NORMDIST($A$136,0,$B$7,FALSE())*(NORMDIST((L216-$A$136)/L18,0,1,TRUE())-NORMDIST((-L216-$A$136)/L18,0,1,TRUE()))</f>
        <v>0.15652416172698985</v>
      </c>
      <c r="AO136">
        <f t="shared" ref="AO136:AT136" si="131">NORMDIST($A$136,0,$B$7,FALSE())*(NORMDIST(($B$5-$A$136)/C18,0,1,TRUE())-NORMDIST((-$B$5-$A$136)/C18,0,1,TRUE()))</f>
        <v>0.13333911673154253</v>
      </c>
      <c r="AP136">
        <f t="shared" si="131"/>
        <v>0.1478831819973668</v>
      </c>
      <c r="AQ136">
        <f t="shared" si="131"/>
        <v>0.15046411271950297</v>
      </c>
      <c r="AR136">
        <f t="shared" si="131"/>
        <v>0.15652416172698985</v>
      </c>
      <c r="AS136">
        <f t="shared" si="131"/>
        <v>0.15733793691737982</v>
      </c>
      <c r="AT136">
        <f t="shared" si="131"/>
        <v>0.13333911673154253</v>
      </c>
    </row>
    <row r="137" spans="1:46" ht="15" customHeight="1" x14ac:dyDescent="0.25">
      <c r="A137">
        <f>A102+35*2*$B$5/39</f>
        <v>1.5897435897435899</v>
      </c>
      <c r="N137">
        <f>NORMDIST($A$137,0,$B$7,FALSE())*(NORMDIST((C26-$A$137)/C18,0,1,TRUE())-NORMDIST((-C26-$A$137)/C18,0,1,TRUE()))</f>
        <v>1.8102235525274513E-2</v>
      </c>
      <c r="O137">
        <f>NORMDIST($A$137,0,$B$7,FALSE())*(NORMDIST((C61-$A$137)/C18,0,1,TRUE())-NORMDIST((-C61-$A$137)/C18,0,1,TRUE()))</f>
        <v>8.5567278905480118E-2</v>
      </c>
      <c r="P137">
        <f>NORMDIST($A$137,0,$B$7,FALSE())*(NORMDIST((D26-$A$137)/D18,0,1,TRUE())-NORMDIST((-D26-$A$137)/D18,0,1,TRUE()))</f>
        <v>3.3679304457943746E-2</v>
      </c>
      <c r="Q137">
        <f>NORMDIST($A$137,0,$B$7,FALSE())*(NORMDIST((D61-$A$137)/D18,0,1,TRUE())-NORMDIST((-D61-$A$137)/D18,0,1,TRUE()))</f>
        <v>0.11753595380770981</v>
      </c>
      <c r="R137">
        <f>NORMDIST($A$137,0,$B$7,FALSE())*(NORMDIST((E26-$A$137)/E18,0,1,TRUE())-NORMDIST((-E26-$A$137)/E18,0,1,TRUE()))</f>
        <v>3.93718635039014E-2</v>
      </c>
      <c r="S137">
        <f>NORMDIST($A$137,0,$B$7,FALSE())*(NORMDIST((E61-$A$137)/E18,0,1,TRUE())-NORMDIST((-E61-$A$137)/E18,0,1,TRUE()))</f>
        <v>0.12384714916978122</v>
      </c>
      <c r="T137">
        <f>NORMDIST($A$137,0,$B$7,FALSE())*(NORMDIST((F26-$A$137)/F18,0,1,TRUE())-NORMDIST((-F26-$A$137)/F18,0,1,TRUE()))</f>
        <v>7.6301970017751894E-2</v>
      </c>
      <c r="U137">
        <f>NORMDIST($A$137,0,$B$7,FALSE())*(NORMDIST((F61-$A$137)/F18,0,1,TRUE())-NORMDIST((-F61-$A$137)/F18,0,1,TRUE()))</f>
        <v>0.13939516552970946</v>
      </c>
      <c r="V137">
        <f>NORMDIST($A$137,0,$B$7,FALSE())*(NORMDIST((G26-$A$137)/G18,0,1,TRUE())-NORMDIST((-G26-$A$137)/G18,0,1,TRUE()))</f>
        <v>0.14225734688609076</v>
      </c>
      <c r="W137">
        <f>NORMDIST($A$137,0,$B$7,FALSE())*(NORMDIST((G61-$A$137)/G18,0,1,TRUE())-NORMDIST((-G61-$A$137)/G18,0,1,TRUE()))</f>
        <v>0.14225734688609076</v>
      </c>
      <c r="X137">
        <f>NORMDIST($A$137,0,$B$7,FALSE())*(NORMDIST((H26-$A$137)/H18,0,1,TRUE())-NORMDIST((-H26-$A$137)/H18,0,1,TRUE()))</f>
        <v>1.8102235525274513E-2</v>
      </c>
      <c r="Y137">
        <f>NORMDIST($A$137,0,$B$7,FALSE())*(NORMDIST((H61-$A$137)/H18,0,1,TRUE())-NORMDIST((-H61-$A$137)/H18,0,1,TRUE()))</f>
        <v>8.5567278905480118E-2</v>
      </c>
      <c r="Z137">
        <f>NORMDIST($A$137,0,$B$7,FALSE())*(NORMDIST((J26-$A$137)/J18,0,1,TRUE())-NORMDIST((-J26-$A$137)/J18,0,1,TRUE()))</f>
        <v>3.3136040271597465E-2</v>
      </c>
      <c r="AA137">
        <f>NORMDIST($A$137,0,$B$7,FALSE())*(NORMDIST((J61-$A$137)/J18,0,1,TRUE())-NORMDIST((-J61-$A$137)/J18,0,1,TRUE()))</f>
        <v>0.11682860236581062</v>
      </c>
      <c r="AB137">
        <f>NORMDIST($A$137,0,$B$7,FALSE())*(NORMDIST((K26-$A$137)/K18,0,1,TRUE())-NORMDIST((-K26-$A$137)/K18,0,1,TRUE()))</f>
        <v>5.3328435307668447E-2</v>
      </c>
      <c r="AC137">
        <f>NORMDIST($A$137,0,$B$7,FALSE())*(NORMDIST((K61-$A$137)/K18,0,1,TRUE())-NORMDIST((-K61-$A$137)/K18,0,1,TRUE()))</f>
        <v>0.13337784750996098</v>
      </c>
      <c r="AD137">
        <f>NORMDIST($A$137,0,$B$7,FALSE())*(NORMDIST((L26-$A$137)/L18,0,1,TRUE())-NORMDIST((-L26-$A$137)/L18,0,1,TRUE()))</f>
        <v>7.6301970017751894E-2</v>
      </c>
      <c r="AE137">
        <f>NORMDIST($A$137,0,$B$7,FALSE())*(NORMDIST((L61-$A$137)/L18,0,1,TRUE())-NORMDIST((-L61-$A$137)/L18,0,1,TRUE()))</f>
        <v>0.13939516552970946</v>
      </c>
      <c r="AF137">
        <f t="shared" ref="AF137:AK137" si="132">NORMDIST($A$137,0,$B$7,FALSE())*(NORMDIST((C216-$A$137)/C18,0,1,TRUE())-NORMDIST((-C216-$A$137)/C18,0,1,TRUE()))</f>
        <v>0.10645807742869866</v>
      </c>
      <c r="AG137">
        <f t="shared" si="132"/>
        <v>0.12705048570167607</v>
      </c>
      <c r="AH137">
        <f t="shared" si="132"/>
        <v>0.13006148623294303</v>
      </c>
      <c r="AI137">
        <f t="shared" si="132"/>
        <v>0.13939516552970946</v>
      </c>
      <c r="AJ137">
        <f t="shared" si="132"/>
        <v>0.14225734688609076</v>
      </c>
      <c r="AK137">
        <f t="shared" si="132"/>
        <v>0.10645807742869866</v>
      </c>
      <c r="AL137">
        <f>NORMDIST($A$137,0,$B$7,FALSE())*(NORMDIST((J216-$A$137)/J18,0,1,TRUE())-NORMDIST((-J216-$A$137)/J18,0,1,TRUE()))</f>
        <v>0.12672219117408956</v>
      </c>
      <c r="AM137">
        <f>NORMDIST($A$137,0,$B$7,FALSE())*(NORMDIST((K216-$A$137)/K18,0,1,TRUE())-NORMDIST((-K216-$A$137)/K18,0,1,TRUE()))</f>
        <v>0.13508813903823383</v>
      </c>
      <c r="AN137">
        <f>NORMDIST($A$137,0,$B$7,FALSE())*(NORMDIST((L216-$A$137)/L18,0,1,TRUE())-NORMDIST((-L216-$A$137)/L18,0,1,TRUE()))</f>
        <v>0.13939516552970946</v>
      </c>
      <c r="AO137">
        <f t="shared" ref="AO137:AT137" si="133">NORMDIST($A$137,0,$B$7,FALSE())*(NORMDIST(($B$5-$A$137)/C18,0,1,TRUE())-NORMDIST((-$B$5-$A$137)/C18,0,1,TRUE()))</f>
        <v>0.11295775174950672</v>
      </c>
      <c r="AP137">
        <f t="shared" si="133"/>
        <v>0.12705048570167607</v>
      </c>
      <c r="AQ137">
        <f t="shared" si="133"/>
        <v>0.13006148623294303</v>
      </c>
      <c r="AR137">
        <f t="shared" si="133"/>
        <v>0.13939516552970946</v>
      </c>
      <c r="AS137">
        <f t="shared" si="133"/>
        <v>0.14225734688609076</v>
      </c>
      <c r="AT137">
        <f t="shared" si="133"/>
        <v>0.11295775174950672</v>
      </c>
    </row>
    <row r="138" spans="1:46" ht="15" customHeight="1" x14ac:dyDescent="0.25">
      <c r="A138">
        <f>A102+36*2*$B$5/39</f>
        <v>1.6923076923076925</v>
      </c>
      <c r="N138">
        <f>NORMDIST($A$138,0,$B$7,FALSE())*(NORMDIST((C26-$A$138)/C18,0,1,TRUE())-NORMDIST((-C26-$A$138)/C18,0,1,TRUE()))</f>
        <v>1.1418612648853967E-2</v>
      </c>
      <c r="O138">
        <f>NORMDIST($A$138,0,$B$7,FALSE())*(NORMDIST((C61-$A$138)/C18,0,1,TRUE())-NORMDIST((-C61-$A$138)/C18,0,1,TRUE()))</f>
        <v>6.6534554626393155E-2</v>
      </c>
      <c r="P138">
        <f>NORMDIST($A$138,0,$B$7,FALSE())*(NORMDIST((D26-$A$138)/D18,0,1,TRUE())-NORMDIST((-D26-$A$138)/D18,0,1,TRUE()))</f>
        <v>1.942853525750933E-2</v>
      </c>
      <c r="Q138">
        <f>NORMDIST($A$138,0,$B$7,FALSE())*(NORMDIST((D61-$A$138)/D18,0,1,TRUE())-NORMDIST((-D61-$A$138)/D18,0,1,TRUE()))</f>
        <v>9.3926544466665068E-2</v>
      </c>
      <c r="R138">
        <f>NORMDIST($A$138,0,$B$7,FALSE())*(NORMDIST((E26-$A$138)/E18,0,1,TRUE())-NORMDIST((-E26-$A$138)/E18,0,1,TRUE()))</f>
        <v>2.2365781900550427E-2</v>
      </c>
      <c r="S138">
        <f>NORMDIST($A$138,0,$B$7,FALSE())*(NORMDIST((E61-$A$138)/E18,0,1,TRUE())-NORMDIST((-E61-$A$138)/E18,0,1,TRUE()))</f>
        <v>0.10022112557786034</v>
      </c>
      <c r="T138">
        <f>NORMDIST($A$138,0,$B$7,FALSE())*(NORMDIST((F26-$A$138)/F18,0,1,TRUE())-NORMDIST((-F26-$A$138)/F18,0,1,TRUE()))</f>
        <v>4.3014737131324324E-2</v>
      </c>
      <c r="U138">
        <f>NORMDIST($A$138,0,$B$7,FALSE())*(NORMDIST((F61-$A$138)/F18,0,1,TRUE())-NORMDIST((-F61-$A$138)/F18,0,1,TRUE()))</f>
        <v>0.11984403085995628</v>
      </c>
      <c r="V138">
        <f>NORMDIST($A$138,0,$B$7,FALSE())*(NORMDIST((G26-$A$138)/G18,0,1,TRUE())-NORMDIST((-G26-$A$138)/G18,0,1,TRUE()))</f>
        <v>0.12776111949935856</v>
      </c>
      <c r="W138">
        <f>NORMDIST($A$138,0,$B$7,FALSE())*(NORMDIST((G61-$A$138)/G18,0,1,TRUE())-NORMDIST((-G61-$A$138)/G18,0,1,TRUE()))</f>
        <v>0.12776111949935856</v>
      </c>
      <c r="X138">
        <f>NORMDIST($A$138,0,$B$7,FALSE())*(NORMDIST((H26-$A$138)/H18,0,1,TRUE())-NORMDIST((-H26-$A$138)/H18,0,1,TRUE()))</f>
        <v>1.1418612648853967E-2</v>
      </c>
      <c r="Y138">
        <f>NORMDIST($A$138,0,$B$7,FALSE())*(NORMDIST((H61-$A$138)/H18,0,1,TRUE())-NORMDIST((-H61-$A$138)/H18,0,1,TRUE()))</f>
        <v>6.6534554626393155E-2</v>
      </c>
      <c r="Z138">
        <f>NORMDIST($A$138,0,$B$7,FALSE())*(NORMDIST((J26-$A$138)/J18,0,1,TRUE())-NORMDIST((-J26-$A$138)/J18,0,1,TRUE()))</f>
        <v>1.9149584510787968E-2</v>
      </c>
      <c r="AA138">
        <f>NORMDIST($A$138,0,$B$7,FALSE())*(NORMDIST((J61-$A$138)/J18,0,1,TRUE())-NORMDIST((-J61-$A$138)/J18,0,1,TRUE()))</f>
        <v>9.324987478255059E-2</v>
      </c>
      <c r="AB138">
        <f>NORMDIST($A$138,0,$B$7,FALSE())*(NORMDIST((K26-$A$138)/K18,0,1,TRUE())-NORMDIST((-K26-$A$138)/K18,0,1,TRUE()))</f>
        <v>2.9759430310934958E-2</v>
      </c>
      <c r="AC138">
        <f>NORMDIST($A$138,0,$B$7,FALSE())*(NORMDIST((K61-$A$138)/K18,0,1,TRUE())-NORMDIST((-K61-$A$138)/K18,0,1,TRUE()))</f>
        <v>0.11110172890543925</v>
      </c>
      <c r="AD138">
        <f>NORMDIST($A$138,0,$B$7,FALSE())*(NORMDIST((L26-$A$138)/L18,0,1,TRUE())-NORMDIST((-L26-$A$138)/L18,0,1,TRUE()))</f>
        <v>4.3014737131324324E-2</v>
      </c>
      <c r="AE138">
        <f>NORMDIST($A$138,0,$B$7,FALSE())*(NORMDIST((L61-$A$138)/L18,0,1,TRUE())-NORMDIST((-L61-$A$138)/L18,0,1,TRUE()))</f>
        <v>0.11984403085995628</v>
      </c>
      <c r="AF138">
        <f t="shared" ref="AF138:AK138" si="134">NORMDIST($A$138,0,$B$7,FALSE())*(NORMDIST((C216-$A$138)/C18,0,1,TRUE())-NORMDIST((-C216-$A$138)/C18,0,1,TRUE()))</f>
        <v>8.6716370280725791E-2</v>
      </c>
      <c r="AG138">
        <f t="shared" si="134"/>
        <v>0.10533077923907165</v>
      </c>
      <c r="AH138">
        <f t="shared" si="134"/>
        <v>0.10827366343092445</v>
      </c>
      <c r="AI138">
        <f t="shared" si="134"/>
        <v>0.11984403085995628</v>
      </c>
      <c r="AJ138">
        <f t="shared" si="134"/>
        <v>0.12776111949935856</v>
      </c>
      <c r="AK138">
        <f t="shared" si="134"/>
        <v>8.6716370280725791E-2</v>
      </c>
      <c r="AL138">
        <f>NORMDIST($A$138,0,$B$7,FALSE())*(NORMDIST((J216-$A$138)/J18,0,1,TRUE())-NORMDIST((-J216-$A$138)/J18,0,1,TRUE()))</f>
        <v>0.10502174063828669</v>
      </c>
      <c r="AM138">
        <f>NORMDIST($A$138,0,$B$7,FALSE())*(NORMDIST((K216-$A$138)/K18,0,1,TRUE())-NORMDIST((-K216-$A$138)/K18,0,1,TRUE()))</f>
        <v>0.11380901840364922</v>
      </c>
      <c r="AN138">
        <f>NORMDIST($A$138,0,$B$7,FALSE())*(NORMDIST((L216-$A$138)/L18,0,1,TRUE())-NORMDIST((-L216-$A$138)/L18,0,1,TRUE()))</f>
        <v>0.11984403085995628</v>
      </c>
      <c r="AO138">
        <f t="shared" ref="AO138:AT138" si="135">NORMDIST($A$138,0,$B$7,FALSE())*(NORMDIST(($B$5-$A$138)/C18,0,1,TRUE())-NORMDIST((-$B$5-$A$138)/C18,0,1,TRUE()))</f>
        <v>9.3374166338361139E-2</v>
      </c>
      <c r="AP138">
        <f t="shared" si="135"/>
        <v>0.10533077923907165</v>
      </c>
      <c r="AQ138">
        <f t="shared" si="135"/>
        <v>0.10827366343092445</v>
      </c>
      <c r="AR138">
        <f t="shared" si="135"/>
        <v>0.11984403085995628</v>
      </c>
      <c r="AS138">
        <f t="shared" si="135"/>
        <v>0.12776111949935856</v>
      </c>
      <c r="AT138">
        <f t="shared" si="135"/>
        <v>9.3374166338361139E-2</v>
      </c>
    </row>
    <row r="139" spans="1:46" ht="15" customHeight="1" x14ac:dyDescent="0.25">
      <c r="A139">
        <f>A102+37*2*$B$5/39</f>
        <v>1.7948717948717947</v>
      </c>
      <c r="N139">
        <f>NORMDIST($A$139,0,$B$7,FALSE())*(NORMDIST((C26-$A$139)/C18,0,1,TRUE())-NORMDIST((-C26-$A$139)/C18,0,1,TRUE()))</f>
        <v>6.9069931841903584E-3</v>
      </c>
      <c r="O139">
        <f>NORMDIST($A$139,0,$B$7,FALSE())*(NORMDIST((C61-$A$139)/C18,0,1,TRUE())-NORMDIST((-C61-$A$139)/C18,0,1,TRUE()))</f>
        <v>5.0055707539979379E-2</v>
      </c>
      <c r="P139">
        <f>NORMDIST($A$139,0,$B$7,FALSE())*(NORMDIST((D26-$A$139)/D18,0,1,TRUE())-NORMDIST((-D26-$A$139)/D18,0,1,TRUE()))</f>
        <v>1.030132030640854E-2</v>
      </c>
      <c r="Q139">
        <f>NORMDIST($A$139,0,$B$7,FALSE())*(NORMDIST((D61-$A$139)/D18,0,1,TRUE())-NORMDIST((-D61-$A$139)/D18,0,1,TRUE()))</f>
        <v>7.1194580351309739E-2</v>
      </c>
      <c r="R139">
        <f>NORMDIST($A$139,0,$B$7,FALSE())*(NORMDIST((E26-$A$139)/E18,0,1,TRUE())-NORMDIST((-E26-$A$139)/E18,0,1,TRUE()))</f>
        <v>1.15040102551759E-2</v>
      </c>
      <c r="S139">
        <f>NORMDIST($A$139,0,$B$7,FALSE())*(NORMDIST((E61-$A$139)/E18,0,1,TRUE())-NORMDIST((-E61-$A$139)/E18,0,1,TRUE()))</f>
        <v>7.6588776006679016E-2</v>
      </c>
      <c r="T139">
        <f>NORMDIST($A$139,0,$B$7,FALSE())*(NORMDIST((F26-$A$139)/F18,0,1,TRUE())-NORMDIST((-F26-$A$139)/F18,0,1,TRUE()))</f>
        <v>1.9952202303007614E-2</v>
      </c>
      <c r="U139">
        <f>NORMDIST($A$139,0,$B$7,FALSE())*(NORMDIST((F61-$A$139)/F18,0,1,TRUE())-NORMDIST((-F61-$A$139)/F18,0,1,TRUE()))</f>
        <v>9.6589426046776852E-2</v>
      </c>
      <c r="V139">
        <f>NORMDIST($A$139,0,$B$7,FALSE())*(NORMDIST((G26-$A$139)/G18,0,1,TRUE())-NORMDIST((-G26-$A$139)/G18,0,1,TRUE()))</f>
        <v>0.11397391399257049</v>
      </c>
      <c r="W139">
        <f>NORMDIST($A$139,0,$B$7,FALSE())*(NORMDIST((G61-$A$139)/G18,0,1,TRUE())-NORMDIST((-G61-$A$139)/G18,0,1,TRUE()))</f>
        <v>0.11397391399257049</v>
      </c>
      <c r="X139">
        <f>NORMDIST($A$139,0,$B$7,FALSE())*(NORMDIST((H26-$A$139)/H18,0,1,TRUE())-NORMDIST((-H26-$A$139)/H18,0,1,TRUE()))</f>
        <v>6.9069931841903584E-3</v>
      </c>
      <c r="Y139">
        <f>NORMDIST($A$139,0,$B$7,FALSE())*(NORMDIST((H61-$A$139)/H18,0,1,TRUE())-NORMDIST((-H61-$A$139)/H18,0,1,TRUE()))</f>
        <v>5.0055707539979379E-2</v>
      </c>
      <c r="Z139">
        <f>NORMDIST($A$139,0,$B$7,FALSE())*(NORMDIST((J26-$A$139)/J18,0,1,TRUE())-NORMDIST((-J26-$A$139)/J18,0,1,TRUE()))</f>
        <v>1.0186388503128693E-2</v>
      </c>
      <c r="AA139">
        <f>NORMDIST($A$139,0,$B$7,FALSE())*(NORMDIST((J61-$A$139)/J18,0,1,TRUE())-NORMDIST((-J61-$A$139)/J18,0,1,TRUE()))</f>
        <v>7.0632025826120465E-2</v>
      </c>
      <c r="AB139">
        <f>NORMDIST($A$139,0,$B$7,FALSE())*(NORMDIST((K26-$A$139)/K18,0,1,TRUE())-NORMDIST((-K26-$A$139)/K18,0,1,TRUE()))</f>
        <v>1.4503181273310085E-2</v>
      </c>
      <c r="AC139">
        <f>NORMDIST($A$139,0,$B$7,FALSE())*(NORMDIST((K61-$A$139)/K18,0,1,TRUE())-NORMDIST((-K61-$A$139)/K18,0,1,TRUE()))</f>
        <v>8.6901684480497524E-2</v>
      </c>
      <c r="AD139">
        <f>NORMDIST($A$139,0,$B$7,FALSE())*(NORMDIST((L26-$A$139)/L18,0,1,TRUE())-NORMDIST((-L26-$A$139)/L18,0,1,TRUE()))</f>
        <v>1.9952202303007614E-2</v>
      </c>
      <c r="AE139">
        <f>NORMDIST($A$139,0,$B$7,FALSE())*(NORMDIST((L61-$A$139)/L18,0,1,TRUE())-NORMDIST((-L61-$A$139)/L18,0,1,TRUE()))</f>
        <v>9.6589426046776852E-2</v>
      </c>
      <c r="AF139">
        <f t="shared" ref="AF139:AK139" si="136">NORMDIST($A$139,0,$B$7,FALSE())*(NORMDIST((C216-$A$139)/C18,0,1,TRUE())-NORMDIST((-C216-$A$139)/C18,0,1,TRUE()))</f>
        <v>6.8635082149178364E-2</v>
      </c>
      <c r="AG139">
        <f t="shared" si="136"/>
        <v>8.3531224429455014E-2</v>
      </c>
      <c r="AH139">
        <f t="shared" si="136"/>
        <v>8.5815159954900952E-2</v>
      </c>
      <c r="AI139">
        <f t="shared" si="136"/>
        <v>9.6589426046776852E-2</v>
      </c>
      <c r="AJ139">
        <f t="shared" si="136"/>
        <v>0.11397391399257049</v>
      </c>
      <c r="AK139">
        <f t="shared" si="136"/>
        <v>6.8635082149178364E-2</v>
      </c>
      <c r="AL139">
        <f>NORMDIST($A$139,0,$B$7,FALSE())*(NORMDIST((J216-$A$139)/J18,0,1,TRUE())-NORMDIST((-J216-$A$139)/J18,0,1,TRUE()))</f>
        <v>8.3297792357172412E-2</v>
      </c>
      <c r="AM139">
        <f>NORMDIST($A$139,0,$B$7,FALSE())*(NORMDIST((K216-$A$139)/K18,0,1,TRUE())-NORMDIST((-K216-$A$139)/K18,0,1,TRUE()))</f>
        <v>9.0499628767903489E-2</v>
      </c>
      <c r="AN139">
        <f>NORMDIST($A$139,0,$B$7,FALSE())*(NORMDIST((L216-$A$139)/L18,0,1,TRUE())-NORMDIST((-L216-$A$139)/L18,0,1,TRUE()))</f>
        <v>9.6589426046776852E-2</v>
      </c>
      <c r="AO139">
        <f t="shared" ref="AO139:AT139" si="137">NORMDIST($A$139,0,$B$7,FALSE())*(NORMDIST(($B$5-$A$139)/C18,0,1,TRUE())-NORMDIST((-$B$5-$A$139)/C18,0,1,TRUE()))</f>
        <v>7.5130586073338682E-2</v>
      </c>
      <c r="AP139">
        <f t="shared" si="137"/>
        <v>8.3531224429455014E-2</v>
      </c>
      <c r="AQ139">
        <f t="shared" si="137"/>
        <v>8.5815159954900952E-2</v>
      </c>
      <c r="AR139">
        <f t="shared" si="137"/>
        <v>9.6589426046776852E-2</v>
      </c>
      <c r="AS139">
        <f t="shared" si="137"/>
        <v>0.11397391399257049</v>
      </c>
      <c r="AT139">
        <f t="shared" si="137"/>
        <v>7.5130586073338682E-2</v>
      </c>
    </row>
    <row r="140" spans="1:46" ht="15" customHeight="1" x14ac:dyDescent="0.25">
      <c r="A140">
        <f>A102+38*2*$B$5/39</f>
        <v>1.8974358974358974</v>
      </c>
      <c r="N140">
        <f>NORMDIST($A$140,0,$B$7,FALSE())*(NORMDIST((C26-$A$140)/C18,0,1,TRUE())-NORMDIST((-C26-$A$140)/C18,0,1,TRUE()))</f>
        <v>4.0034588954558654E-3</v>
      </c>
      <c r="O140">
        <f>NORMDIST($A$140,0,$B$7,FALSE())*(NORMDIST((C61-$A$140)/C18,0,1,TRUE())-NORMDIST((-C61-$A$140)/C18,0,1,TRUE()))</f>
        <v>3.6368988222775366E-2</v>
      </c>
      <c r="P140">
        <f>NORMDIST($A$140,0,$B$7,FALSE())*(NORMDIST((D26-$A$140)/D18,0,1,TRUE())-NORMDIST((-D26-$A$140)/D18,0,1,TRUE()))</f>
        <v>5.0045856393856943E-3</v>
      </c>
      <c r="Q140">
        <f>NORMDIST($A$140,0,$B$7,FALSE())*(NORMDIST((D61-$A$140)/D18,0,1,TRUE())-NORMDIST((-D61-$A$140)/D18,0,1,TRUE()))</f>
        <v>5.0776307457432869E-2</v>
      </c>
      <c r="R140">
        <f>NORMDIST($A$140,0,$B$7,FALSE())*(NORMDIST((E26-$A$140)/E18,0,1,TRUE())-NORMDIST((-E26-$A$140)/E18,0,1,TRUE()))</f>
        <v>5.3343346872811968E-3</v>
      </c>
      <c r="S140">
        <f>NORMDIST($A$140,0,$B$7,FALSE())*(NORMDIST((E61-$A$140)/E18,0,1,TRUE())-NORMDIST((-E61-$A$140)/E18,0,1,TRUE()))</f>
        <v>5.4660428146816334E-2</v>
      </c>
      <c r="T140">
        <f>NORMDIST($A$140,0,$B$7,FALSE())*(NORMDIST((F26-$A$140)/F18,0,1,TRUE())-NORMDIST((-F26-$A$140)/F18,0,1,TRUE()))</f>
        <v>7.4658023727831669E-3</v>
      </c>
      <c r="U140">
        <f>NORMDIST($A$140,0,$B$7,FALSE())*(NORMDIST((F61-$A$140)/F18,0,1,TRUE())-NORMDIST((-F61-$A$140)/F18,0,1,TRUE()))</f>
        <v>7.0287843683923532E-2</v>
      </c>
      <c r="V140">
        <f>NORMDIST($A$140,0,$B$7,FALSE())*(NORMDIST((G26-$A$140)/G18,0,1,TRUE())-NORMDIST((-G26-$A$140)/G18,0,1,TRUE()))</f>
        <v>0.10091640516088989</v>
      </c>
      <c r="W140">
        <f>NORMDIST($A$140,0,$B$7,FALSE())*(NORMDIST((G61-$A$140)/G18,0,1,TRUE())-NORMDIST((-G61-$A$140)/G18,0,1,TRUE()))</f>
        <v>0.1009938442242958</v>
      </c>
      <c r="X140">
        <f>NORMDIST($A$140,0,$B$7,FALSE())*(NORMDIST((H26-$A$140)/H18,0,1,TRUE())-NORMDIST((-H26-$A$140)/H18,0,1,TRUE()))</f>
        <v>4.0034588954558654E-3</v>
      </c>
      <c r="Y140">
        <f>NORMDIST($A$140,0,$B$7,FALSE())*(NORMDIST((H61-$A$140)/H18,0,1,TRUE())-NORMDIST((-H61-$A$140)/H18,0,1,TRUE()))</f>
        <v>3.6368988222775366E-2</v>
      </c>
      <c r="Z140">
        <f>NORMDIST($A$140,0,$B$7,FALSE())*(NORMDIST((J26-$A$140)/J18,0,1,TRUE())-NORMDIST((-J26-$A$140)/J18,0,1,TRUE()))</f>
        <v>4.9725256622892219E-3</v>
      </c>
      <c r="AA140">
        <f>NORMDIST($A$140,0,$B$7,FALSE())*(NORMDIST((J61-$A$140)/J18,0,1,TRUE())-NORMDIST((-J61-$A$140)/J18,0,1,TRUE()))</f>
        <v>5.0378304105333858E-2</v>
      </c>
      <c r="AB140">
        <f>NORMDIST($A$140,0,$B$7,FALSE())*(NORMDIST((K26-$A$140)/K18,0,1,TRUE())-NORMDIST((-K26-$A$140)/K18,0,1,TRUE()))</f>
        <v>6.1203829469580473E-3</v>
      </c>
      <c r="AC140">
        <f>NORMDIST($A$140,0,$B$7,FALSE())*(NORMDIST((K61-$A$140)/K18,0,1,TRUE())-NORMDIST((-K61-$A$140)/K18,0,1,TRUE()))</f>
        <v>6.2559768986361536E-2</v>
      </c>
      <c r="AD140">
        <f>NORMDIST($A$140,0,$B$7,FALSE())*(NORMDIST((L26-$A$140)/L18,0,1,TRUE())-NORMDIST((-L26-$A$140)/L18,0,1,TRUE()))</f>
        <v>7.4658023727831669E-3</v>
      </c>
      <c r="AE140">
        <f>NORMDIST($A$140,0,$B$7,FALSE())*(NORMDIST((L61-$A$140)/L18,0,1,TRUE())-NORMDIST((-L61-$A$140)/L18,0,1,TRUE()))</f>
        <v>7.0287843683923532E-2</v>
      </c>
      <c r="AF140">
        <f t="shared" ref="AF140:AK140" si="138">NORMDIST($A$140,0,$B$7,FALSE())*(NORMDIST((C216-$A$140)/C18,0,1,TRUE())-NORMDIST((-C216-$A$140)/C18,0,1,TRUE()))</f>
        <v>5.2668242974996719E-2</v>
      </c>
      <c r="AG140">
        <f t="shared" si="138"/>
        <v>6.2820582262790678E-2</v>
      </c>
      <c r="AH140">
        <f t="shared" si="138"/>
        <v>6.400784027885259E-2</v>
      </c>
      <c r="AI140">
        <f t="shared" si="138"/>
        <v>7.0287843683923532E-2</v>
      </c>
      <c r="AJ140">
        <f t="shared" si="138"/>
        <v>0.1009938442242958</v>
      </c>
      <c r="AK140">
        <f t="shared" si="138"/>
        <v>5.2668242974996719E-2</v>
      </c>
      <c r="AL140">
        <f>NORMDIST($A$140,0,$B$7,FALSE())*(NORMDIST((J216-$A$140)/J18,0,1,TRUE())-NORMDIST((-J216-$A$140)/J18,0,1,TRUE()))</f>
        <v>6.2701205494883755E-2</v>
      </c>
      <c r="AM140">
        <f>NORMDIST($A$140,0,$B$7,FALSE())*(NORMDIST((K216-$A$140)/K18,0,1,TRUE())-NORMDIST((-K216-$A$140)/K18,0,1,TRUE()))</f>
        <v>6.657424975891986E-2</v>
      </c>
      <c r="AN140">
        <f>NORMDIST($A$140,0,$B$7,FALSE())*(NORMDIST((L216-$A$140)/L18,0,1,TRUE())-NORMDIST((-L216-$A$140)/L18,0,1,TRUE()))</f>
        <v>7.0287843683923532E-2</v>
      </c>
      <c r="AO140">
        <f t="shared" ref="AO140:AT140" si="139">NORMDIST($A$140,0,$B$7,FALSE())*(NORMDIST(($B$5-$A$140)/C18,0,1,TRUE())-NORMDIST((-$B$5-$A$140)/C18,0,1,TRUE()))</f>
        <v>5.8704096452156483E-2</v>
      </c>
      <c r="AP140">
        <f t="shared" si="139"/>
        <v>6.2820582262790678E-2</v>
      </c>
      <c r="AQ140">
        <f t="shared" si="139"/>
        <v>6.400784027885259E-2</v>
      </c>
      <c r="AR140">
        <f t="shared" si="139"/>
        <v>7.0287843683923532E-2</v>
      </c>
      <c r="AS140">
        <f t="shared" si="139"/>
        <v>0.1009938442242958</v>
      </c>
      <c r="AT140">
        <f t="shared" si="139"/>
        <v>5.8704096452156483E-2</v>
      </c>
    </row>
    <row r="141" spans="1:46" ht="15" customHeight="1" x14ac:dyDescent="0.25">
      <c r="A141">
        <f>A102+39*2*$B$5/39</f>
        <v>2</v>
      </c>
      <c r="N141">
        <f>NORMDIST($A$141,0,$B$7,FALSE())*(NORMDIST((C26-$A$141)/C18,0,1,TRUE())-NORMDIST((-C26-$A$141)/C18,0,1,TRUE()))</f>
        <v>2.2221360767105333E-3</v>
      </c>
      <c r="O141">
        <f>NORMDIST($A$141,0,$B$7,FALSE())*(NORMDIST((C61-$A$141)/C18,0,1,TRUE())-NORMDIST((-C61-$A$141)/C18,0,1,TRUE()))</f>
        <v>2.5478358588921717E-2</v>
      </c>
      <c r="P141">
        <f>NORMDIST($A$141,0,$B$7,FALSE())*(NORMDIST((D26-$A$141)/D18,0,1,TRUE())-NORMDIST((-D26-$A$141)/D18,0,1,TRUE()))</f>
        <v>2.2221361452088597E-3</v>
      </c>
      <c r="Q141">
        <f>NORMDIST($A$141,0,$B$7,FALSE())*(NORMDIST((D61-$A$141)/D18,0,1,TRUE())-NORMDIST((-D61-$A$141)/D18,0,1,TRUE()))</f>
        <v>3.3833974892570146E-2</v>
      </c>
      <c r="R141">
        <f>NORMDIST($A$141,0,$B$7,FALSE())*(NORMDIST((E26-$A$141)/E18,0,1,TRUE())-NORMDIST((-E26-$A$141)/E18,0,1,TRUE()))</f>
        <v>2.2221361452088571E-3</v>
      </c>
      <c r="S141">
        <f>NORMDIST($A$141,0,$B$7,FALSE())*(NORMDIST((E61-$A$141)/E18,0,1,TRUE())-NORMDIST((-E61-$A$141)/E18,0,1,TRUE()))</f>
        <v>3.607285828104724E-2</v>
      </c>
      <c r="T141">
        <f>NORMDIST($A$141,0,$B$7,FALSE())*(NORMDIST((F26-$A$141)/F18,0,1,TRUE())-NORMDIST((-F26-$A$141)/F18,0,1,TRUE()))</f>
        <v>2.2221361452088614E-3</v>
      </c>
      <c r="U141">
        <f>NORMDIST($A$141,0,$B$7,FALSE())*(NORMDIST((F61-$A$141)/F18,0,1,TRUE())-NORMDIST((-F61-$A$141)/F18,0,1,TRUE()))</f>
        <v>4.4446465033018002E-2</v>
      </c>
      <c r="V141">
        <f>NORMDIST($A$141,0,$B$7,FALSE())*(NORMDIST((G26-$A$141)/G18,0,1,TRUE())-NORMDIST((-G26-$A$141)/G18,0,1,TRUE()))</f>
        <v>2.2221361452088844E-3</v>
      </c>
      <c r="W141">
        <f>NORMDIST($A$141,0,$B$7,FALSE())*(NORMDIST((G61-$A$141)/G18,0,1,TRUE())-NORMDIST((-G61-$A$141)/G18,0,1,TRUE()))</f>
        <v>4.4446465033018002E-2</v>
      </c>
      <c r="X141">
        <f>NORMDIST($A$141,0,$B$7,FALSE())*(NORMDIST((H26-$A$141)/H18,0,1,TRUE())-NORMDIST((-H26-$A$141)/H18,0,1,TRUE()))</f>
        <v>2.2221360767105333E-3</v>
      </c>
      <c r="Y141">
        <f>NORMDIST($A$141,0,$B$7,FALSE())*(NORMDIST((H61-$A$141)/H18,0,1,TRUE())-NORMDIST((-H61-$A$141)/H18,0,1,TRUE()))</f>
        <v>2.5478358588921717E-2</v>
      </c>
      <c r="Z141">
        <f>NORMDIST($A$141,0,$B$7,FALSE())*(NORMDIST((J26-$A$141)/J18,0,1,TRUE())-NORMDIST((-J26-$A$141)/J18,0,1,TRUE()))</f>
        <v>2.2221361452088597E-3</v>
      </c>
      <c r="AA141">
        <f>NORMDIST($A$141,0,$B$7,FALSE())*(NORMDIST((J61-$A$141)/J18,0,1,TRUE())-NORMDIST((-J61-$A$141)/J18,0,1,TRUE()))</f>
        <v>3.3604947252879117E-2</v>
      </c>
      <c r="AB141">
        <f>NORMDIST($A$141,0,$B$7,FALSE())*(NORMDIST((K26-$A$141)/K18,0,1,TRUE())-NORMDIST((-K26-$A$141)/K18,0,1,TRUE()))</f>
        <v>2.2221361452088597E-3</v>
      </c>
      <c r="AC141">
        <f>NORMDIST($A$141,0,$B$7,FALSE())*(NORMDIST((K61-$A$141)/K18,0,1,TRUE())-NORMDIST((-K61-$A$141)/K18,0,1,TRUE()))</f>
        <v>4.0685844088775659E-2</v>
      </c>
      <c r="AD141">
        <f>NORMDIST($A$141,0,$B$7,FALSE())*(NORMDIST((L26-$A$141)/L18,0,1,TRUE())-NORMDIST((-L26-$A$141)/L18,0,1,TRUE()))</f>
        <v>2.2221361452088614E-3</v>
      </c>
      <c r="AE141">
        <f>NORMDIST($A$141,0,$B$7,FALSE())*(NORMDIST((L61-$A$141)/L18,0,1,TRUE())-NORMDIST((-L61-$A$141)/L18,0,1,TRUE()))</f>
        <v>4.4446465033018002E-2</v>
      </c>
      <c r="AF141">
        <f t="shared" ref="AF141:AK141" si="140">NORMDIST($A$141,0,$B$7,FALSE())*(NORMDIST((C216-$A$141)/C18,0,1,TRUE())-NORMDIST((-C216-$A$141)/C18,0,1,TRUE()))</f>
        <v>3.9104414293821957E-2</v>
      </c>
      <c r="AG141">
        <f t="shared" si="140"/>
        <v>4.4446465033018002E-2</v>
      </c>
      <c r="AH141">
        <f t="shared" si="140"/>
        <v>4.4446465033018002E-2</v>
      </c>
      <c r="AI141">
        <f t="shared" si="140"/>
        <v>4.4446465033018002E-2</v>
      </c>
      <c r="AJ141">
        <f t="shared" si="140"/>
        <v>4.4446465033018002E-2</v>
      </c>
      <c r="AK141">
        <f t="shared" si="140"/>
        <v>3.9104414293821957E-2</v>
      </c>
      <c r="AL141">
        <f>NORMDIST($A$141,0,$B$7,FALSE())*(NORMDIST((J216-$A$141)/J18,0,1,TRUE())-NORMDIST((-J216-$A$141)/J18,0,1,TRUE()))</f>
        <v>4.4446465033018002E-2</v>
      </c>
      <c r="AM141">
        <f>NORMDIST($A$141,0,$B$7,FALSE())*(NORMDIST((K216-$A$141)/K18,0,1,TRUE())-NORMDIST((-K216-$A$141)/K18,0,1,TRUE()))</f>
        <v>4.4446465033018002E-2</v>
      </c>
      <c r="AN141">
        <f>NORMDIST($A$141,0,$B$7,FALSE())*(NORMDIST((L216-$A$141)/L18,0,1,TRUE())-NORMDIST((-L216-$A$141)/L18,0,1,TRUE()))</f>
        <v>4.4446465033018002E-2</v>
      </c>
      <c r="AO141">
        <f t="shared" ref="AO141:AT141" si="141">NORMDIST($A$141,0,$B$7,FALSE())*(NORMDIST(($B$5-$A$141)/C18,0,1,TRUE())-NORMDIST((-$B$5-$A$141)/C18,0,1,TRUE()))</f>
        <v>4.4446465033017947E-2</v>
      </c>
      <c r="AP141">
        <f t="shared" si="141"/>
        <v>4.4446465033018002E-2</v>
      </c>
      <c r="AQ141">
        <f t="shared" si="141"/>
        <v>4.4446465033018002E-2</v>
      </c>
      <c r="AR141">
        <f t="shared" si="141"/>
        <v>4.4446465033018002E-2</v>
      </c>
      <c r="AS141">
        <f t="shared" si="141"/>
        <v>4.4446465033018002E-2</v>
      </c>
      <c r="AT141">
        <f t="shared" si="141"/>
        <v>4.4446465033017947E-2</v>
      </c>
    </row>
    <row r="142" spans="1:46" ht="15" customHeight="1" x14ac:dyDescent="0.25"/>
    <row r="143" spans="1:46" ht="15" customHeight="1" x14ac:dyDescent="0.25">
      <c r="N143">
        <f t="shared" ref="N143:AT143" si="142">$B$102*(N102/2+SUM(N103:N140)+N141/2)</f>
        <v>0.55018815734609205</v>
      </c>
      <c r="O143">
        <f t="shared" si="142"/>
        <v>0.78600292468746125</v>
      </c>
      <c r="P143">
        <f t="shared" si="142"/>
        <v>0.7037384819921364</v>
      </c>
      <c r="Q143">
        <f t="shared" si="142"/>
        <v>0.84528250754809331</v>
      </c>
      <c r="R143">
        <f t="shared" si="142"/>
        <v>0.72698414164179603</v>
      </c>
      <c r="S143">
        <f t="shared" si="142"/>
        <v>0.85324791358150753</v>
      </c>
      <c r="T143">
        <f t="shared" si="142"/>
        <v>0.79514612857702549</v>
      </c>
      <c r="U143">
        <f t="shared" si="142"/>
        <v>0.8729551259804984</v>
      </c>
      <c r="V143">
        <f t="shared" si="142"/>
        <v>0.88089575225284089</v>
      </c>
      <c r="W143">
        <f t="shared" si="142"/>
        <v>0.88524233758767379</v>
      </c>
      <c r="X143">
        <f t="shared" si="142"/>
        <v>0.55018815734609205</v>
      </c>
      <c r="Y143">
        <f t="shared" si="142"/>
        <v>0.78600292468746125</v>
      </c>
      <c r="Z143">
        <f t="shared" si="142"/>
        <v>0.70107799609474886</v>
      </c>
      <c r="AA143">
        <f t="shared" si="142"/>
        <v>0.84435142999694279</v>
      </c>
      <c r="AB143">
        <f t="shared" si="142"/>
        <v>0.76287437985719309</v>
      </c>
      <c r="AC143">
        <f t="shared" si="142"/>
        <v>0.8648664321846028</v>
      </c>
      <c r="AD143">
        <f t="shared" si="142"/>
        <v>0.79514612857702549</v>
      </c>
      <c r="AE143">
        <f t="shared" si="142"/>
        <v>0.8729551259804984</v>
      </c>
      <c r="AF143">
        <f t="shared" si="142"/>
        <v>0.82625012084216476</v>
      </c>
      <c r="AG143">
        <f t="shared" si="142"/>
        <v>0.85937632402010222</v>
      </c>
      <c r="AH143">
        <f t="shared" si="142"/>
        <v>0.86273464603927519</v>
      </c>
      <c r="AI143">
        <f t="shared" si="142"/>
        <v>0.8729551259804984</v>
      </c>
      <c r="AJ143">
        <f t="shared" si="142"/>
        <v>0.88524233758767379</v>
      </c>
      <c r="AK143">
        <f t="shared" si="142"/>
        <v>0.82625012084216476</v>
      </c>
      <c r="AL143">
        <f t="shared" si="142"/>
        <v>0.85899486980869622</v>
      </c>
      <c r="AM143">
        <f t="shared" si="142"/>
        <v>0.86803271443021512</v>
      </c>
      <c r="AN143">
        <f t="shared" si="142"/>
        <v>0.8729551259804984</v>
      </c>
      <c r="AO143">
        <f t="shared" si="142"/>
        <v>0.83781544116607232</v>
      </c>
      <c r="AP143">
        <f t="shared" si="142"/>
        <v>0.85937632402010222</v>
      </c>
      <c r="AQ143">
        <f t="shared" si="142"/>
        <v>0.86273464603927519</v>
      </c>
      <c r="AR143">
        <f t="shared" si="142"/>
        <v>0.8729551259804984</v>
      </c>
      <c r="AS143">
        <f t="shared" si="142"/>
        <v>0.88524233758767379</v>
      </c>
      <c r="AT143">
        <f t="shared" si="142"/>
        <v>0.83781544116607232</v>
      </c>
    </row>
    <row r="144" spans="1:46" ht="15" customHeight="1" x14ac:dyDescent="0.25"/>
    <row r="145" spans="1:31" ht="15" customHeight="1" x14ac:dyDescent="0.25"/>
    <row r="146" spans="1:31" ht="15" customHeight="1" x14ac:dyDescent="0.25"/>
    <row r="147" spans="1:31" ht="15" customHeight="1" x14ac:dyDescent="0.25"/>
    <row r="148" spans="1:31" ht="15" customHeight="1" x14ac:dyDescent="0.25"/>
    <row r="149" spans="1:31" ht="15" customHeight="1" x14ac:dyDescent="0.25"/>
    <row r="150" spans="1:31" ht="15" customHeight="1" x14ac:dyDescent="0.25">
      <c r="A150" s="230"/>
      <c r="B150" s="130">
        <v>0.02</v>
      </c>
    </row>
    <row r="151" spans="1:31" ht="15" customHeight="1" x14ac:dyDescent="0.25">
      <c r="B151">
        <f>4*$B$7/30</f>
        <v>0.16685509404673385</v>
      </c>
    </row>
    <row r="152" spans="1:31" ht="15" customHeight="1" x14ac:dyDescent="0.25">
      <c r="B152">
        <f>$B$5+(0.5+0)*$B$151</f>
        <v>2.083427547023367</v>
      </c>
      <c r="N152">
        <f>NORMDIST($B$152,0,$B$7,FALSE())*NORMDIST((C26-$B$152)/C18,0,1,TRUE())</f>
        <v>1.3327959917726377E-3</v>
      </c>
      <c r="O152">
        <f>NORMDIST($B$152,0,$B$7,FALSE())*NORMDIST((C61-$B$152)/C18,0,1,TRUE())</f>
        <v>1.8549567892716768E-2</v>
      </c>
      <c r="P152">
        <f>NORMDIST($B$152,0,$B$7,FALSE())*NORMDIST((D26-$B$152)/D18,0,1,TRUE())</f>
        <v>1.0728144769416325E-3</v>
      </c>
      <c r="Q152">
        <f>NORMDIST($B$152,0,$B$7,FALSE())*NORMDIST((D61-$B$152)/D18,0,1,TRUE())</f>
        <v>2.3032351123844583E-2</v>
      </c>
      <c r="R152">
        <f>NORMDIST($B$152,0,$B$7,FALSE())*NORMDIST((E26-$B$152)/E18,0,1,TRUE())</f>
        <v>1.0052170259062061E-3</v>
      </c>
      <c r="S152">
        <f>NORMDIST($B$152,0,$B$7,FALSE())*NORMDIST((E61-$B$152)/E18,0,1,TRUE())</f>
        <v>2.4140266887547428E-2</v>
      </c>
      <c r="T152">
        <f>NORMDIST($B$152,0,$B$7,FALSE())*NORMDIST((F26-$B$152)/F18,0,1,TRUE())</f>
        <v>6.9556014627393298E-4</v>
      </c>
      <c r="U152">
        <f>NORMDIST($B$152,0,$B$7,FALSE())*NORMDIST((F61-$B$152)/F18,0,1,TRUE())</f>
        <v>2.6972260983521065E-2</v>
      </c>
      <c r="V152">
        <f>NORMDIST($B$152,0,$B$7,FALSE())*NORMDIST((G26-$B$152)/G18,0,1,TRUE())</f>
        <v>3.4731614501787586E-11</v>
      </c>
      <c r="W152">
        <f>NORMDIST($B$152,0,$B$7,FALSE())*NORMDIST((G61-$B$152)/G18,0,1,TRUE())</f>
        <v>1.206990734262419E-6</v>
      </c>
      <c r="X152">
        <f>NORMDIST($B$152,0,$B$7,FALSE())*NORMDIST((H26-$B$152)/H18,0,1,TRUE())</f>
        <v>1.3327959917726377E-3</v>
      </c>
      <c r="Y152">
        <f>NORMDIST($B$152,0,$B$7,FALSE())*NORMDIST((H61-$B$152)/H18,0,1,TRUE())</f>
        <v>1.8549567892716768E-2</v>
      </c>
      <c r="Z152">
        <f>NORMDIST($B$152,0,$B$7,FALSE())*NORMDIST((J26-$B$152)/J18,0,1,TRUE())</f>
        <v>1.0797852650208186E-3</v>
      </c>
      <c r="AA152">
        <f>NORMDIST($B$152,0,$B$7,FALSE())*NORMDIST((J61-$B$152)/J18,0,1,TRUE())</f>
        <v>2.2916918347295982E-2</v>
      </c>
      <c r="AB152">
        <f>NORMDIST($B$152,0,$B$7,FALSE())*NORMDIST((K26-$B$152)/K18,0,1,TRUE())</f>
        <v>8.6935795030614071E-4</v>
      </c>
      <c r="AC152">
        <f>NORMDIST($B$152,0,$B$7,FALSE())*NORMDIST((K61-$B$152)/K18,0,1,TRUE())</f>
        <v>2.6310236336544966E-2</v>
      </c>
      <c r="AD152">
        <f>NORMDIST($B$152,0,$B$7,FALSE())*NORMDIST((L26-$B$152)/L18,0,1,TRUE())</f>
        <v>6.9556014627393298E-4</v>
      </c>
      <c r="AE152">
        <f>NORMDIST($B$152,0,$B$7,FALSE())*NORMDIST((L61-$B$152)/L18,0,1,TRUE())</f>
        <v>2.6972260983521065E-2</v>
      </c>
    </row>
    <row r="153" spans="1:31" ht="15" customHeight="1" x14ac:dyDescent="0.25">
      <c r="B153">
        <f>$B$5+(0.5+1)*$B$151</f>
        <v>2.2502826410701009</v>
      </c>
      <c r="N153">
        <f>NORMDIST($B$153,0,$B$7,FALSE())*NORMDIST((C26-$B$153)/C18,0,1,TRUE())</f>
        <v>4.3900342063290577E-4</v>
      </c>
      <c r="O153">
        <f>NORMDIST($B$153,0,$B$7,FALSE())*NORMDIST((C61-$B$153)/C18,0,1,TRUE())</f>
        <v>9.0951887670660918E-3</v>
      </c>
      <c r="P153">
        <f>NORMDIST($B$153,0,$B$7,FALSE())*NORMDIST((D26-$B$153)/D18,0,1,TRUE())</f>
        <v>2.0757999613691763E-4</v>
      </c>
      <c r="Q153">
        <f>NORMDIST($B$153,0,$B$7,FALSE())*NORMDIST((D61-$B$153)/D18,0,1,TRUE())</f>
        <v>9.1175390382227366E-3</v>
      </c>
      <c r="R153">
        <f>NORMDIST($B$153,0,$B$7,FALSE())*NORMDIST((E26-$B$153)/E18,0,1,TRUE())</f>
        <v>1.6461607182950423E-4</v>
      </c>
      <c r="S153">
        <f>NORMDIST($B$153,0,$B$7,FALSE())*NORMDIST((E61-$B$153)/E18,0,1,TRUE())</f>
        <v>8.9698985874123935E-3</v>
      </c>
      <c r="T153">
        <f>NORMDIST($B$153,0,$B$7,FALSE())*NORMDIST((F26-$B$153)/F18,0,1,TRUE())</f>
        <v>4.1800724326807151E-5</v>
      </c>
      <c r="U153">
        <f>NORMDIST($B$153,0,$B$7,FALSE())*NORMDIST((F61-$B$153)/F18,0,1,TRUE())</f>
        <v>6.6706967035722667E-3</v>
      </c>
      <c r="V153">
        <f>NORMDIST($B$153,0,$B$7,FALSE())*NORMDIST((G26-$B$153)/G18,0,1,TRUE())</f>
        <v>5.5869846458493365E-49</v>
      </c>
      <c r="W153">
        <f>NORMDIST($B$153,0,$B$7,FALSE())*NORMDIST((G61-$B$153)/G18,0,1,TRUE())</f>
        <v>1.9775383807689183E-37</v>
      </c>
      <c r="X153">
        <f>NORMDIST($B$153,0,$B$7,FALSE())*NORMDIST((H26-$B$153)/H18,0,1,TRUE())</f>
        <v>4.3900342063290577E-4</v>
      </c>
      <c r="Y153">
        <f>NORMDIST($B$153,0,$B$7,FALSE())*NORMDIST((H61-$B$153)/H18,0,1,TRUE())</f>
        <v>9.0951887670660918E-3</v>
      </c>
      <c r="Z153">
        <f>NORMDIST($B$153,0,$B$7,FALSE())*NORMDIST((J26-$B$153)/J18,0,1,TRUE())</f>
        <v>2.1238817599607043E-4</v>
      </c>
      <c r="AA153">
        <f>NORMDIST($B$153,0,$B$7,FALSE())*NORMDIST((J61-$B$153)/J18,0,1,TRUE())</f>
        <v>9.1292347948427645E-3</v>
      </c>
      <c r="AB153">
        <f>NORMDIST($B$153,0,$B$7,FALSE())*NORMDIST((K26-$B$153)/K18,0,1,TRUE())</f>
        <v>9.7002177727156889E-5</v>
      </c>
      <c r="AC153">
        <f>NORMDIST($B$153,0,$B$7,FALSE())*NORMDIST((K61-$B$153)/K18,0,1,TRUE())</f>
        <v>8.4856224344655087E-3</v>
      </c>
      <c r="AD153">
        <f>NORMDIST($B$153,0,$B$7,FALSE())*NORMDIST((L26-$B$153)/L18,0,1,TRUE())</f>
        <v>4.1800724326807151E-5</v>
      </c>
      <c r="AE153">
        <f>NORMDIST($B$153,0,$B$7,FALSE())*NORMDIST((L61-$B$153)/L18,0,1,TRUE())</f>
        <v>6.6706967035722667E-3</v>
      </c>
    </row>
    <row r="154" spans="1:31" ht="15" customHeight="1" x14ac:dyDescent="0.25">
      <c r="B154">
        <f>$B$5+(0.5+2)*$B$151</f>
        <v>2.4171377351168344</v>
      </c>
      <c r="N154">
        <f>NORMDIST($B$154,0,$B$7,FALSE())*NORMDIST((C26-$B$154)/C18,0,1,TRUE())</f>
        <v>1.2837657680774212E-4</v>
      </c>
      <c r="O154">
        <f>NORMDIST($B$154,0,$B$7,FALSE())*NORMDIST((C61-$B$154)/C18,0,1,TRUE())</f>
        <v>4.0041898659204751E-3</v>
      </c>
      <c r="P154">
        <f>NORMDIST($B$154,0,$B$7,FALSE())*NORMDIST((D26-$B$154)/D18,0,1,TRUE())</f>
        <v>3.1193148022802705E-5</v>
      </c>
      <c r="Q154">
        <f>NORMDIST($B$154,0,$B$7,FALSE())*NORMDIST((D61-$B$154)/D18,0,1,TRUE())</f>
        <v>2.8851037108704588E-3</v>
      </c>
      <c r="R154">
        <f>NORMDIST($B$154,0,$B$7,FALSE())*NORMDIST((E26-$B$154)/E18,0,1,TRUE())</f>
        <v>1.991137284227844E-5</v>
      </c>
      <c r="S154">
        <f>NORMDIST($B$154,0,$B$7,FALSE())*NORMDIST((E61-$B$154)/E18,0,1,TRUE())</f>
        <v>2.5507283876606561E-3</v>
      </c>
      <c r="T154">
        <f>NORMDIST($B$154,0,$B$7,FALSE())*NORMDIST((F26-$B$154)/F18,0,1,TRUE())</f>
        <v>1.2875511911699144E-6</v>
      </c>
      <c r="U154">
        <f>NORMDIST($B$154,0,$B$7,FALSE())*NORMDIST((F61-$B$154)/F18,0,1,TRUE())</f>
        <v>9.1333377876645053E-4</v>
      </c>
      <c r="V154">
        <f>NORMDIST($B$154,0,$B$7,FALSE())*NORMDIST((G26-$B$154)/G18,0,1,TRUE())</f>
        <v>7.6931849860773818E-117</v>
      </c>
      <c r="W154">
        <f>NORMDIST($B$154,0,$B$7,FALSE())*NORMDIST((G61-$B$154)/G18,0,1,TRUE())</f>
        <v>3.2574960239241698E-98</v>
      </c>
      <c r="X154">
        <f>NORMDIST($B$154,0,$B$7,FALSE())*NORMDIST((H26-$B$154)/H18,0,1,TRUE())</f>
        <v>1.2837657680774212E-4</v>
      </c>
      <c r="Y154">
        <f>NORMDIST($B$154,0,$B$7,FALSE())*NORMDIST((H61-$B$154)/H18,0,1,TRUE())</f>
        <v>4.0041898659204751E-3</v>
      </c>
      <c r="Z154">
        <f>NORMDIST($B$154,0,$B$7,FALSE())*NORMDIST((J26-$B$154)/J18,0,1,TRUE())</f>
        <v>3.2598481044533114E-5</v>
      </c>
      <c r="AA154">
        <f>NORMDIST($B$154,0,$B$7,FALSE())*NORMDIST((J61-$B$154)/J18,0,1,TRUE())</f>
        <v>2.9190747435246193E-3</v>
      </c>
      <c r="AB154">
        <f>NORMDIST($B$154,0,$B$7,FALSE())*NORMDIST((K26-$B$154)/K18,0,1,TRUE())</f>
        <v>7.034247225398817E-6</v>
      </c>
      <c r="AC154">
        <f>NORMDIST($B$154,0,$B$7,FALSE())*NORMDIST((K61-$B$154)/K18,0,1,TRUE())</f>
        <v>1.8740119163243721E-3</v>
      </c>
      <c r="AD154">
        <f>NORMDIST($B$154,0,$B$7,FALSE())*NORMDIST((L26-$B$154)/L18,0,1,TRUE())</f>
        <v>1.2875511911699144E-6</v>
      </c>
      <c r="AE154">
        <f>NORMDIST($B$154,0,$B$7,FALSE())*NORMDIST((L61-$B$154)/L18,0,1,TRUE())</f>
        <v>9.1333377876645053E-4</v>
      </c>
    </row>
    <row r="155" spans="1:31" ht="15" customHeight="1" x14ac:dyDescent="0.25">
      <c r="B155">
        <f>$B$5+(0.5+3)*$B$151</f>
        <v>2.5839928291635683</v>
      </c>
      <c r="N155">
        <f>NORMDIST($B$155,0,$B$7,FALSE())*NORMDIST((C26-$B$155)/C18,0,1,TRUE())</f>
        <v>3.3279337596679938E-5</v>
      </c>
      <c r="O155">
        <f>NORMDIST($B$155,0,$B$7,FALSE())*NORMDIST((C61-$B$155)/C18,0,1,TRUE())</f>
        <v>1.5769555093772571E-3</v>
      </c>
      <c r="P155">
        <f>NORMDIST($B$155,0,$B$7,FALSE())*NORMDIST((D26-$B$155)/D18,0,1,TRUE())</f>
        <v>3.6251252987394097E-6</v>
      </c>
      <c r="Q155">
        <f>NORMDIST($B$155,0,$B$7,FALSE())*NORMDIST((D61-$B$155)/D18,0,1,TRUE())</f>
        <v>7.2080055793790428E-4</v>
      </c>
      <c r="R155">
        <f>NORMDIST($B$155,0,$B$7,FALSE())*NORMDIST((E26-$B$155)/E18,0,1,TRUE())</f>
        <v>1.7695284704699079E-6</v>
      </c>
      <c r="S155">
        <f>NORMDIST($B$155,0,$B$7,FALSE())*NORMDIST((E61-$B$155)/E18,0,1,TRUE())</f>
        <v>5.4622084328659662E-4</v>
      </c>
      <c r="T155">
        <f>NORMDIST($B$155,0,$B$7,FALSE())*NORMDIST((F26-$B$155)/F18,0,1,TRUE())</f>
        <v>2.0062116258161139E-8</v>
      </c>
      <c r="U155">
        <f>NORMDIST($B$155,0,$B$7,FALSE())*NORMDIST((F61-$B$155)/F18,0,1,TRUE())</f>
        <v>6.6190752691284112E-5</v>
      </c>
      <c r="V155">
        <f>NORMDIST($B$155,0,$B$7,FALSE())*NORMDIST((G26-$B$155)/G18,0,1,TRUE())</f>
        <v>7.099628902272425E-215</v>
      </c>
      <c r="W155">
        <f>NORMDIST($B$155,0,$B$7,FALSE())*NORMDIST((G61-$B$155)/G18,0,1,TRUE())</f>
        <v>3.7052565888917957E-189</v>
      </c>
      <c r="X155">
        <f>NORMDIST($B$155,0,$B$7,FALSE())*NORMDIST((H26-$B$155)/H18,0,1,TRUE())</f>
        <v>3.3279337596679938E-5</v>
      </c>
      <c r="Y155">
        <f>NORMDIST($B$155,0,$B$7,FALSE())*NORMDIST((H61-$B$155)/H18,0,1,TRUE())</f>
        <v>1.5769555093772571E-3</v>
      </c>
      <c r="Z155">
        <f>NORMDIST($B$155,0,$B$7,FALSE())*NORMDIST((J26-$B$155)/J18,0,1,TRUE())</f>
        <v>3.8882977357915189E-6</v>
      </c>
      <c r="AA155">
        <f>NORMDIST($B$155,0,$B$7,FALSE())*NORMDIST((J61-$B$155)/J18,0,1,TRUE())</f>
        <v>7.402245067454731E-4</v>
      </c>
      <c r="AB155">
        <f>NORMDIST($B$155,0,$B$7,FALSE())*NORMDIST((K26-$B$155)/K18,0,1,TRUE())</f>
        <v>3.2886302371087553E-7</v>
      </c>
      <c r="AC155">
        <f>NORMDIST($B$155,0,$B$7,FALSE())*NORMDIST((K61-$B$155)/K18,0,1,TRUE())</f>
        <v>2.7600609952685618E-4</v>
      </c>
      <c r="AD155">
        <f>NORMDIST($B$155,0,$B$7,FALSE())*NORMDIST((L26-$B$155)/L18,0,1,TRUE())</f>
        <v>2.0062116258161139E-8</v>
      </c>
      <c r="AE155">
        <f>NORMDIST($B$155,0,$B$7,FALSE())*NORMDIST((L61-$B$155)/L18,0,1,TRUE())</f>
        <v>6.6190752691284112E-5</v>
      </c>
    </row>
    <row r="156" spans="1:31" ht="15" customHeight="1" x14ac:dyDescent="0.25">
      <c r="B156">
        <f>$B$5+(0.5+4)*$B$151</f>
        <v>2.7508479232103022</v>
      </c>
      <c r="N156">
        <f>NORMDIST($B$156,0,$B$7,FALSE())*NORMDIST((C26-$B$156)/C18,0,1,TRUE())</f>
        <v>7.6385588248321308E-6</v>
      </c>
      <c r="O156">
        <f>NORMDIST($B$156,0,$B$7,FALSE())*NORMDIST((C61-$B$156)/C18,0,1,TRUE())</f>
        <v>5.539020132407646E-4</v>
      </c>
      <c r="P156">
        <f>NORMDIST($B$156,0,$B$7,FALSE())*NORMDIST((D26-$B$156)/D18,0,1,TRUE())</f>
        <v>3.2480544379190534E-7</v>
      </c>
      <c r="Q156">
        <f>NORMDIST($B$156,0,$B$7,FALSE())*NORMDIST((D61-$B$156)/D18,0,1,TRUE())</f>
        <v>1.4093641844308927E-4</v>
      </c>
      <c r="R156">
        <f>NORMDIST($B$156,0,$B$7,FALSE())*NORMDIST((E26-$B$156)/E18,0,1,TRUE())</f>
        <v>1.1510215099457477E-7</v>
      </c>
      <c r="S156">
        <f>NORMDIST($B$156,0,$B$7,FALSE())*NORMDIST((E61-$B$156)/E18,0,1,TRUE())</f>
        <v>8.7114552354198722E-5</v>
      </c>
      <c r="T156">
        <f>NORMDIST($B$156,0,$B$7,FALSE())*NORMDIST((F26-$B$156)/F18,0,1,TRUE())</f>
        <v>1.568110767605758E-10</v>
      </c>
      <c r="U156">
        <f>NORMDIST($B$156,0,$B$7,FALSE())*NORMDIST((F61-$B$156)/F18,0,1,TRUE())</f>
        <v>2.4741908598661436E-6</v>
      </c>
      <c r="V156">
        <f>NORMDIST($B$156,0,$B$7,FALSE())*NORMDIST((G26-$B$156)/G18,0,1,TRUE())</f>
        <v>0</v>
      </c>
      <c r="W156">
        <f>NORMDIST($B$156,0,$B$7,FALSE())*NORMDIST((G61-$B$156)/G18,0,1,TRUE())</f>
        <v>0</v>
      </c>
      <c r="X156">
        <f>NORMDIST($B$156,0,$B$7,FALSE())*NORMDIST((H26-$B$156)/H18,0,1,TRUE())</f>
        <v>7.6385588248321308E-6</v>
      </c>
      <c r="Y156">
        <f>NORMDIST($B$156,0,$B$7,FALSE())*NORMDIST((H61-$B$156)/H18,0,1,TRUE())</f>
        <v>5.539020132407646E-4</v>
      </c>
      <c r="Z156">
        <f>NORMDIST($B$156,0,$B$7,FALSE())*NORMDIST((J26-$B$156)/J18,0,1,TRUE())</f>
        <v>3.5932897444094445E-7</v>
      </c>
      <c r="AA156">
        <f>NORMDIST($B$156,0,$B$7,FALSE())*NORMDIST((J61-$B$156)/J18,0,1,TRUE())</f>
        <v>1.4759347994054998E-4</v>
      </c>
      <c r="AB156">
        <f>NORMDIST($B$156,0,$B$7,FALSE())*NORMDIST((K26-$B$156)/K18,0,1,TRUE())</f>
        <v>9.8576710319606399E-9</v>
      </c>
      <c r="AC156">
        <f>NORMDIST($B$156,0,$B$7,FALSE())*NORMDIST((K61-$B$156)/K18,0,1,TRUE())</f>
        <v>2.6655966537986058E-5</v>
      </c>
      <c r="AD156">
        <f>NORMDIST($B$156,0,$B$7,FALSE())*NORMDIST((L26-$B$156)/L18,0,1,TRUE())</f>
        <v>1.568110767605758E-10</v>
      </c>
      <c r="AE156">
        <f>NORMDIST($B$156,0,$B$7,FALSE())*NORMDIST((L61-$B$156)/L18,0,1,TRUE())</f>
        <v>2.4741908598661436E-6</v>
      </c>
    </row>
    <row r="157" spans="1:31" ht="15" customHeight="1" x14ac:dyDescent="0.25">
      <c r="B157">
        <f>$B$5+(0.5+5)*$B$151</f>
        <v>2.9177030172570362</v>
      </c>
      <c r="N157">
        <f>NORMDIST($B$157,0,$B$7,FALSE())*NORMDIST((C26-$B$157)/C18,0,1,TRUE())</f>
        <v>1.5508398495935963E-6</v>
      </c>
      <c r="O157">
        <f>NORMDIST($B$157,0,$B$7,FALSE())*NORMDIST((C61-$B$157)/C18,0,1,TRUE())</f>
        <v>1.7311027739829612E-4</v>
      </c>
      <c r="P157">
        <f>NORMDIST($B$157,0,$B$7,FALSE())*NORMDIST((D26-$B$157)/D18,0,1,TRUE())</f>
        <v>2.2383950825538402E-8</v>
      </c>
      <c r="Q157">
        <f>NORMDIST($B$157,0,$B$7,FALSE())*NORMDIST((D61-$B$157)/D18,0,1,TRUE())</f>
        <v>2.1431569689177236E-5</v>
      </c>
      <c r="R157">
        <f>NORMDIST($B$157,0,$B$7,FALSE())*NORMDIST((E26-$B$157)/E18,0,1,TRUE())</f>
        <v>5.4645241781023175E-9</v>
      </c>
      <c r="S157">
        <f>NORMDIST($B$157,0,$B$7,FALSE())*NORMDIST((E61-$B$157)/E18,0,1,TRUE())</f>
        <v>1.0268129769955846E-5</v>
      </c>
      <c r="T157">
        <f>NORMDIST($B$157,0,$B$7,FALSE())*NORMDIST((F26-$B$157)/F18,0,1,TRUE())</f>
        <v>6.1140537952807237E-13</v>
      </c>
      <c r="U157">
        <f>NORMDIST($B$157,0,$B$7,FALSE())*NORMDIST((F61-$B$157)/F18,0,1,TRUE())</f>
        <v>4.6967505096360214E-8</v>
      </c>
      <c r="V157">
        <f>NORMDIST($B$157,0,$B$7,FALSE())*NORMDIST((G26-$B$157)/G18,0,1,TRUE())</f>
        <v>0</v>
      </c>
      <c r="W157">
        <f>NORMDIST($B$157,0,$B$7,FALSE())*NORMDIST((G61-$B$157)/G18,0,1,TRUE())</f>
        <v>0</v>
      </c>
      <c r="X157">
        <f>NORMDIST($B$157,0,$B$7,FALSE())*NORMDIST((H26-$B$157)/H18,0,1,TRUE())</f>
        <v>1.5508398495935963E-6</v>
      </c>
      <c r="Y157">
        <f>NORMDIST($B$157,0,$B$7,FALSE())*NORMDIST((H61-$B$157)/H18,0,1,TRUE())</f>
        <v>1.7311027739829612E-4</v>
      </c>
      <c r="Z157">
        <f>NORMDIST($B$157,0,$B$7,FALSE())*NORMDIST((J26-$B$157)/J18,0,1,TRUE())</f>
        <v>2.5667999813488995E-8</v>
      </c>
      <c r="AA157">
        <f>NORMDIST($B$157,0,$B$7,FALSE())*NORMDIST((J61-$B$157)/J18,0,1,TRUE())</f>
        <v>2.2997641053633114E-5</v>
      </c>
      <c r="AB157">
        <f>NORMDIST($B$157,0,$B$7,FALSE())*NORMDIST((K26-$B$157)/K18,0,1,TRUE())</f>
        <v>1.8871072784704218E-10</v>
      </c>
      <c r="AC157">
        <f>NORMDIST($B$157,0,$B$7,FALSE())*NORMDIST((K61-$B$157)/K18,0,1,TRUE())</f>
        <v>1.6696436447854748E-6</v>
      </c>
      <c r="AD157">
        <f>NORMDIST($B$157,0,$B$7,FALSE())*NORMDIST((L26-$B$157)/L18,0,1,TRUE())</f>
        <v>6.1140537952807237E-13</v>
      </c>
      <c r="AE157">
        <f>NORMDIST($B$157,0,$B$7,FALSE())*NORMDIST((L61-$B$157)/L18,0,1,TRUE())</f>
        <v>4.6967505096360214E-8</v>
      </c>
    </row>
    <row r="158" spans="1:31" ht="15" customHeight="1" x14ac:dyDescent="0.25">
      <c r="B158">
        <f>$B$5+(0.5+6)*$B$151</f>
        <v>3.0845581113037701</v>
      </c>
      <c r="N158">
        <f>NORMDIST($B$158,0,$B$7,FALSE())*NORMDIST((C26-$B$158)/C18,0,1,TRUE())</f>
        <v>2.7828289903220558E-7</v>
      </c>
      <c r="O158">
        <f>NORMDIST($B$158,0,$B$7,FALSE())*NORMDIST((C61-$B$158)/C18,0,1,TRUE())</f>
        <v>4.8046439555663108E-5</v>
      </c>
      <c r="P158">
        <f>NORMDIST($B$158,0,$B$7,FALSE())*NORMDIST((D26-$B$158)/D18,0,1,TRUE())</f>
        <v>1.1843400317033994E-9</v>
      </c>
      <c r="Q158">
        <f>NORMDIST($B$158,0,$B$7,FALSE())*NORMDIST((D61-$B$158)/D18,0,1,TRUE())</f>
        <v>2.523032279639726E-6</v>
      </c>
      <c r="R158">
        <f>NORMDIST($B$158,0,$B$7,FALSE())*NORMDIST((E26-$B$158)/E18,0,1,TRUE())</f>
        <v>1.8894625016248611E-10</v>
      </c>
      <c r="S158">
        <f>NORMDIST($B$158,0,$B$7,FALSE())*NORMDIST((E61-$B$158)/E18,0,1,TRUE())</f>
        <v>8.8962448146478212E-7</v>
      </c>
      <c r="T158">
        <f>NORMDIST($B$158,0,$B$7,FALSE())*NORMDIST((F26-$B$158)/F18,0,1,TRUE())</f>
        <v>1.1845183240365295E-15</v>
      </c>
      <c r="U158">
        <f>NORMDIST($B$158,0,$B$7,FALSE())*NORMDIST((F61-$B$158)/F18,0,1,TRUE())</f>
        <v>4.4838638090797925E-10</v>
      </c>
      <c r="V158">
        <f>NORMDIST($B$158,0,$B$7,FALSE())*NORMDIST((G26-$B$158)/G18,0,1,TRUE())</f>
        <v>0</v>
      </c>
      <c r="W158">
        <f>NORMDIST($B$158,0,$B$7,FALSE())*NORMDIST((G61-$B$158)/G18,0,1,TRUE())</f>
        <v>0</v>
      </c>
      <c r="X158">
        <f>NORMDIST($B$158,0,$B$7,FALSE())*NORMDIST((H26-$B$158)/H18,0,1,TRUE())</f>
        <v>2.7828289903220558E-7</v>
      </c>
      <c r="Y158">
        <f>NORMDIST($B$158,0,$B$7,FALSE())*NORMDIST((H61-$B$158)/H18,0,1,TRUE())</f>
        <v>4.8046439555663108E-5</v>
      </c>
      <c r="Z158">
        <f>NORMDIST($B$158,0,$B$7,FALSE())*NORMDIST((J26-$B$158)/J18,0,1,TRUE())</f>
        <v>1.4147694622081875E-9</v>
      </c>
      <c r="AA158">
        <f>NORMDIST($B$158,0,$B$7,FALSE())*NORMDIST((J61-$B$158)/J18,0,1,TRUE())</f>
        <v>2.7878195940729896E-6</v>
      </c>
      <c r="AB158">
        <f>NORMDIST($B$158,0,$B$7,FALSE())*NORMDIST((K26-$B$158)/K18,0,1,TRUE())</f>
        <v>2.3006220603914959E-12</v>
      </c>
      <c r="AC158">
        <f>NORMDIST($B$158,0,$B$7,FALSE())*NORMDIST((K61-$B$158)/K18,0,1,TRUE())</f>
        <v>6.7329134060649667E-8</v>
      </c>
      <c r="AD158">
        <f>NORMDIST($B$158,0,$B$7,FALSE())*NORMDIST((L26-$B$158)/L18,0,1,TRUE())</f>
        <v>1.1845183240365295E-15</v>
      </c>
      <c r="AE158">
        <f>NORMDIST($B$158,0,$B$7,FALSE())*NORMDIST((L61-$B$158)/L18,0,1,TRUE())</f>
        <v>4.4838638090797925E-10</v>
      </c>
    </row>
    <row r="159" spans="1:31" ht="15" customHeight="1" x14ac:dyDescent="0.25">
      <c r="B159">
        <f>$B$5+(0.5+7)*$B$151</f>
        <v>3.251413205350504</v>
      </c>
      <c r="N159">
        <f>NORMDIST($B$159,0,$B$7,FALSE())*NORMDIST((C26-$B$159)/C18,0,1,TRUE())</f>
        <v>4.4103658916281649E-8</v>
      </c>
      <c r="O159">
        <f>NORMDIST($B$159,0,$B$7,FALSE())*NORMDIST((C61-$B$159)/C18,0,1,TRUE())</f>
        <v>1.1824419004641265E-5</v>
      </c>
      <c r="P159">
        <f>NORMDIST($B$159,0,$B$7,FALSE())*NORMDIST((D26-$B$159)/D18,0,1,TRUE())</f>
        <v>4.804268636373327E-11</v>
      </c>
      <c r="Q159">
        <f>NORMDIST($B$159,0,$B$7,FALSE())*NORMDIST((D61-$B$159)/D18,0,1,TRUE())</f>
        <v>2.2917279897502586E-7</v>
      </c>
      <c r="R159">
        <f>NORMDIST($B$159,0,$B$7,FALSE())*NORMDIST((E26-$B$159)/E18,0,1,TRUE())</f>
        <v>4.7503848914434553E-12</v>
      </c>
      <c r="S159">
        <f>NORMDIST($B$159,0,$B$7,FALSE())*NORMDIST((E61-$B$159)/E18,0,1,TRUE())</f>
        <v>5.643242705045259E-8</v>
      </c>
      <c r="T159">
        <f>NORMDIST($B$159,0,$B$7,FALSE())*NORMDIST((F26-$B$159)/F18,0,1,TRUE())</f>
        <v>1.1370972420170873E-18</v>
      </c>
      <c r="U159">
        <f>NORMDIST($B$159,0,$B$7,FALSE())*NORMDIST((F61-$B$159)/F18,0,1,TRUE())</f>
        <v>2.1389854918763995E-12</v>
      </c>
      <c r="V159">
        <f>NORMDIST($B$159,0,$B$7,FALSE())*NORMDIST((G26-$B$159)/G18,0,1,TRUE())</f>
        <v>0</v>
      </c>
      <c r="W159">
        <f>NORMDIST($B$159,0,$B$7,FALSE())*NORMDIST((G61-$B$159)/G18,0,1,TRUE())</f>
        <v>0</v>
      </c>
      <c r="X159">
        <f>NORMDIST($B$159,0,$B$7,FALSE())*NORMDIST((H26-$B$159)/H18,0,1,TRUE())</f>
        <v>4.4103658916281649E-8</v>
      </c>
      <c r="Y159">
        <f>NORMDIST($B$159,0,$B$7,FALSE())*NORMDIST((H61-$B$159)/H18,0,1,TRUE())</f>
        <v>1.1824419004641265E-5</v>
      </c>
      <c r="Z159">
        <f>NORMDIST($B$159,0,$B$7,FALSE())*NORMDIST((J26-$B$159)/J18,0,1,TRUE())</f>
        <v>6.008525630480371E-11</v>
      </c>
      <c r="AA159">
        <f>NORMDIST($B$159,0,$B$7,FALSE())*NORMDIST((J61-$B$159)/J18,0,1,TRUE())</f>
        <v>2.6204082669079525E-7</v>
      </c>
      <c r="AB159">
        <f>NORMDIST($B$159,0,$B$7,FALSE())*NORMDIST((K26-$B$159)/K18,0,1,TRUE())</f>
        <v>1.7823691993185675E-14</v>
      </c>
      <c r="AC159">
        <f>NORMDIST($B$159,0,$B$7,FALSE())*NORMDIST((K61-$B$159)/K18,0,1,TRUE())</f>
        <v>1.7390648253104205E-9</v>
      </c>
      <c r="AD159">
        <f>NORMDIST($B$159,0,$B$7,FALSE())*NORMDIST((L26-$B$159)/L18,0,1,TRUE())</f>
        <v>1.1370972420170873E-18</v>
      </c>
      <c r="AE159">
        <f>NORMDIST($B$159,0,$B$7,FALSE())*NORMDIST((L61-$B$159)/L18,0,1,TRUE())</f>
        <v>2.1389854918763995E-12</v>
      </c>
    </row>
    <row r="160" spans="1:31" ht="15" customHeight="1" x14ac:dyDescent="0.25">
      <c r="B160">
        <f>$B$5+(0.5+8)*$B$151</f>
        <v>3.418268299397238</v>
      </c>
      <c r="N160">
        <f>NORMDIST($B$160,0,$B$7,FALSE())*NORMDIST((C26-$B$160)/C18,0,1,TRUE())</f>
        <v>6.169972605495685E-9</v>
      </c>
      <c r="O160">
        <f>NORMDIST($B$160,0,$B$7,FALSE())*NORMDIST((C61-$B$160)/C18,0,1,TRUE())</f>
        <v>2.5771250700874718E-6</v>
      </c>
      <c r="P160">
        <f>NORMDIST($B$160,0,$B$7,FALSE())*NORMDIST((D26-$B$160)/D18,0,1,TRUE())</f>
        <v>1.492455873843304E-12</v>
      </c>
      <c r="Q160">
        <f>NORMDIST($B$160,0,$B$7,FALSE())*NORMDIST((D61-$B$160)/D18,0,1,TRUE())</f>
        <v>1.6020328855152002E-8</v>
      </c>
      <c r="R160">
        <f>NORMDIST($B$160,0,$B$7,FALSE())*NORMDIST((E26-$B$160)/E18,0,1,TRUE())</f>
        <v>8.6729398325352195E-14</v>
      </c>
      <c r="S160">
        <f>NORMDIST($B$160,0,$B$7,FALSE())*NORMDIST((E61-$B$160)/E18,0,1,TRUE())</f>
        <v>2.6133416523801945E-9</v>
      </c>
      <c r="T160">
        <f>NORMDIST($B$160,0,$B$7,FALSE())*NORMDIST((F26-$B$160)/F18,0,1,TRUE())</f>
        <v>5.3975460849953504E-22</v>
      </c>
      <c r="U160">
        <f>NORMDIST($B$160,0,$B$7,FALSE())*NORMDIST((F61-$B$160)/F18,0,1,TRUE())</f>
        <v>5.0763287064281006E-15</v>
      </c>
      <c r="V160">
        <f>NORMDIST($B$160,0,$B$7,FALSE())*NORMDIST((G26-$B$160)/G18,0,1,TRUE())</f>
        <v>0</v>
      </c>
      <c r="W160">
        <f>NORMDIST($B$160,0,$B$7,FALSE())*NORMDIST((G61-$B$160)/G18,0,1,TRUE())</f>
        <v>0</v>
      </c>
      <c r="X160">
        <f>NORMDIST($B$160,0,$B$7,FALSE())*NORMDIST((H26-$B$160)/H18,0,1,TRUE())</f>
        <v>6.169972605495685E-9</v>
      </c>
      <c r="Y160">
        <f>NORMDIST($B$160,0,$B$7,FALSE())*NORMDIST((H61-$B$160)/H18,0,1,TRUE())</f>
        <v>2.5771250700874718E-6</v>
      </c>
      <c r="Z160">
        <f>NORMDIST($B$160,0,$B$7,FALSE())*NORMDIST((J26-$B$160)/J18,0,1,TRUE())</f>
        <v>1.9640744000823681E-12</v>
      </c>
      <c r="AA160">
        <f>NORMDIST($B$160,0,$B$7,FALSE())*NORMDIST((J61-$B$160)/J18,0,1,TRUE())</f>
        <v>1.9050614182717691E-8</v>
      </c>
      <c r="AB160">
        <f>NORMDIST($B$160,0,$B$7,FALSE())*NORMDIST((K26-$B$160)/K18,0,1,TRUE())</f>
        <v>8.7609228781176644E-17</v>
      </c>
      <c r="AC160">
        <f>NORMDIST($B$160,0,$B$7,FALSE())*NORMDIST((K61-$B$160)/K18,0,1,TRUE())</f>
        <v>2.8667029700033805E-11</v>
      </c>
      <c r="AD160">
        <f>NORMDIST($B$160,0,$B$7,FALSE())*NORMDIST((L26-$B$160)/L18,0,1,TRUE())</f>
        <v>5.3975460849953504E-22</v>
      </c>
      <c r="AE160">
        <f>NORMDIST($B$160,0,$B$7,FALSE())*NORMDIST((L61-$B$160)/L18,0,1,TRUE())</f>
        <v>5.0763287064281006E-15</v>
      </c>
    </row>
    <row r="161" spans="1:31" ht="15" customHeight="1" x14ac:dyDescent="0.25">
      <c r="B161">
        <f>$B$5+(0.5+9)*$B$151</f>
        <v>3.5851233934439715</v>
      </c>
      <c r="N161">
        <f>NORMDIST($B$161,0,$B$7,FALSE())*NORMDIST((C26-$B$161)/C18,0,1,TRUE())</f>
        <v>7.6155749719601699E-10</v>
      </c>
      <c r="O161">
        <f>NORMDIST($B$161,0,$B$7,FALSE())*NORMDIST((C61-$B$161)/C18,0,1,TRUE())</f>
        <v>4.9691644602143566E-7</v>
      </c>
      <c r="P161">
        <f>NORMDIST($B$161,0,$B$7,FALSE())*NORMDIST((D26-$B$161)/D18,0,1,TRUE())</f>
        <v>3.5473719052645704E-14</v>
      </c>
      <c r="Q161">
        <f>NORMDIST($B$161,0,$B$7,FALSE())*NORMDIST((D61-$B$161)/D18,0,1,TRUE())</f>
        <v>8.6020765104720977E-10</v>
      </c>
      <c r="R161">
        <f>NORMDIST($B$161,0,$B$7,FALSE())*NORMDIST((E26-$B$161)/E18,0,1,TRUE())</f>
        <v>1.1487026813308403E-15</v>
      </c>
      <c r="S161">
        <f>NORMDIST($B$161,0,$B$7,FALSE())*NORMDIST((E61-$B$161)/E18,0,1,TRUE())</f>
        <v>8.8157388304789005E-11</v>
      </c>
      <c r="T161">
        <f>NORMDIST($B$161,0,$B$7,FALSE())*NORMDIST((F26-$B$161)/F18,0,1,TRUE())</f>
        <v>1.2648965460894801E-25</v>
      </c>
      <c r="U161">
        <f>NORMDIST($B$161,0,$B$7,FALSE())*NORMDIST((F61-$B$161)/F18,0,1,TRUE())</f>
        <v>5.9747190550389342E-18</v>
      </c>
      <c r="V161">
        <f>NORMDIST($B$161,0,$B$7,FALSE())*NORMDIST((G26-$B$161)/G18,0,1,TRUE())</f>
        <v>0</v>
      </c>
      <c r="W161">
        <f>NORMDIST($B$161,0,$B$7,FALSE())*NORMDIST((G61-$B$161)/G18,0,1,TRUE())</f>
        <v>0</v>
      </c>
      <c r="X161">
        <f>NORMDIST($B$161,0,$B$7,FALSE())*NORMDIST((H26-$B$161)/H18,0,1,TRUE())</f>
        <v>7.6155749719601699E-10</v>
      </c>
      <c r="Y161">
        <f>NORMDIST($B$161,0,$B$7,FALSE())*NORMDIST((H61-$B$161)/H18,0,1,TRUE())</f>
        <v>4.9691644602143566E-7</v>
      </c>
      <c r="Z161">
        <f>NORMDIST($B$161,0,$B$7,FALSE())*NORMDIST((J26-$B$161)/J18,0,1,TRUE())</f>
        <v>4.9370620989940027E-14</v>
      </c>
      <c r="AA161">
        <f>NORMDIST($B$161,0,$B$7,FALSE())*NORMDIST((J61-$B$161)/J18,0,1,TRUE())</f>
        <v>1.0691807350042741E-9</v>
      </c>
      <c r="AB161">
        <f>NORMDIST($B$161,0,$B$7,FALSE())*NORMDIST((K26-$B$161)/K18,0,1,TRUE())</f>
        <v>2.7286905469190401E-19</v>
      </c>
      <c r="AC161">
        <f>NORMDIST($B$161,0,$B$7,FALSE())*NORMDIST((K61-$B$161)/K18,0,1,TRUE())</f>
        <v>3.0077905461536188E-13</v>
      </c>
      <c r="AD161">
        <f>NORMDIST($B$161,0,$B$7,FALSE())*NORMDIST((L26-$B$161)/L18,0,1,TRUE())</f>
        <v>1.2648965460894801E-25</v>
      </c>
      <c r="AE161">
        <f>NORMDIST($B$161,0,$B$7,FALSE())*NORMDIST((L61-$B$161)/L18,0,1,TRUE())</f>
        <v>5.9747190550389342E-18</v>
      </c>
    </row>
    <row r="162" spans="1:31" ht="15" customHeight="1" x14ac:dyDescent="0.25">
      <c r="B162">
        <f>$B$5+(0.5+10)*$B$151</f>
        <v>3.7519784874907054</v>
      </c>
      <c r="N162">
        <f>NORMDIST($B$162,0,$B$7,FALSE())*NORMDIST((C26-$B$162)/C18,0,1,TRUE())</f>
        <v>8.2900003148624389E-11</v>
      </c>
      <c r="O162">
        <f>NORMDIST($B$162,0,$B$7,FALSE())*NORMDIST((C61-$B$162)/C18,0,1,TRUE())</f>
        <v>8.469468965566531E-8</v>
      </c>
      <c r="P162">
        <f>NORMDIST($B$162,0,$B$7,FALSE())*NORMDIST((D26-$B$162)/D18,0,1,TRUE())</f>
        <v>6.4464924126903292E-16</v>
      </c>
      <c r="Q162">
        <f>NORMDIST($B$162,0,$B$7,FALSE())*NORMDIST((D61-$B$162)/D18,0,1,TRUE())</f>
        <v>3.5424316651498135E-11</v>
      </c>
      <c r="R162">
        <f>NORMDIST($B$162,0,$B$7,FALSE())*NORMDIST((E26-$B$162)/E18,0,1,TRUE())</f>
        <v>1.102796447725263E-17</v>
      </c>
      <c r="S162">
        <f>NORMDIST($B$162,0,$B$7,FALSE())*NORMDIST((E61-$B$162)/E18,0,1,TRUE())</f>
        <v>2.1626507509795195E-12</v>
      </c>
      <c r="T162">
        <f>NORMDIST($B$162,0,$B$7,FALSE())*NORMDIST((F26-$B$162)/F18,0,1,TRUE())</f>
        <v>1.4616525756691925E-29</v>
      </c>
      <c r="U162">
        <f>NORMDIST($B$162,0,$B$7,FALSE())*NORMDIST((F61-$B$162)/F18,0,1,TRUE())</f>
        <v>3.4794762494583315E-21</v>
      </c>
      <c r="V162">
        <f>NORMDIST($B$162,0,$B$7,FALSE())*NORMDIST((G26-$B$162)/G18,0,1,TRUE())</f>
        <v>0</v>
      </c>
      <c r="W162">
        <f>NORMDIST($B$162,0,$B$7,FALSE())*NORMDIST((G61-$B$162)/G18,0,1,TRUE())</f>
        <v>0</v>
      </c>
      <c r="X162">
        <f>NORMDIST($B$162,0,$B$7,FALSE())*NORMDIST((H26-$B$162)/H18,0,1,TRUE())</f>
        <v>8.2900003148624389E-11</v>
      </c>
      <c r="Y162">
        <f>NORMDIST($B$162,0,$B$7,FALSE())*NORMDIST((H61-$B$162)/H18,0,1,TRUE())</f>
        <v>8.469468965566531E-8</v>
      </c>
      <c r="Z162">
        <f>NORMDIST($B$162,0,$B$7,FALSE())*NORMDIST((J26-$B$162)/J18,0,1,TRUE())</f>
        <v>9.5363965921003283E-16</v>
      </c>
      <c r="AA162">
        <f>NORMDIST($B$162,0,$B$7,FALSE())*NORMDIST((J61-$B$162)/J18,0,1,TRUE())</f>
        <v>4.6253628568377877E-11</v>
      </c>
      <c r="AB162">
        <f>NORMDIST($B$162,0,$B$7,FALSE())*NORMDIST((K26-$B$162)/K18,0,1,TRUE())</f>
        <v>5.3799419358879179E-22</v>
      </c>
      <c r="AC162">
        <f>NORMDIST($B$162,0,$B$7,FALSE())*NORMDIST((K61-$B$162)/K18,0,1,TRUE())</f>
        <v>2.0046716119034101E-15</v>
      </c>
      <c r="AD162">
        <f>NORMDIST($B$162,0,$B$7,FALSE())*NORMDIST((L26-$B$162)/L18,0,1,TRUE())</f>
        <v>1.4616525756691925E-29</v>
      </c>
      <c r="AE162">
        <f>NORMDIST($B$162,0,$B$7,FALSE())*NORMDIST((L61-$B$162)/L18,0,1,TRUE())</f>
        <v>3.4794762494583315E-21</v>
      </c>
    </row>
    <row r="163" spans="1:31" ht="15" customHeight="1" x14ac:dyDescent="0.25">
      <c r="B163">
        <f>$B$5+(0.5+11)*$B$151</f>
        <v>3.9188335815374393</v>
      </c>
      <c r="N163">
        <f>NORMDIST($B$163,0,$B$7,FALSE())*NORMDIST((C26-$B$163)/C18,0,1,TRUE())</f>
        <v>7.9558373244482506E-12</v>
      </c>
      <c r="O163">
        <f>NORMDIST($B$163,0,$B$7,FALSE())*NORMDIST((C61-$B$163)/C18,0,1,TRUE())</f>
        <v>1.2751122435305235E-8</v>
      </c>
      <c r="P163">
        <f>NORMDIST($B$163,0,$B$7,FALSE())*NORMDIST((D26-$B$163)/D18,0,1,TRUE())</f>
        <v>8.9513520078212912E-18</v>
      </c>
      <c r="Q163">
        <f>NORMDIST($B$163,0,$B$7,FALSE())*NORMDIST((D61-$B$163)/D18,0,1,TRUE())</f>
        <v>1.1174978601954025E-12</v>
      </c>
      <c r="R163">
        <f>NORMDIST($B$163,0,$B$7,FALSE())*NORMDIST((E26-$B$163)/E18,0,1,TRUE())</f>
        <v>7.6689822709578365E-20</v>
      </c>
      <c r="S163">
        <f>NORMDIST($B$163,0,$B$7,FALSE())*NORMDIST((E61-$B$163)/E18,0,1,TRUE())</f>
        <v>3.853087156631797E-14</v>
      </c>
      <c r="T163">
        <f>NORMDIST($B$163,0,$B$7,FALSE())*NORMDIST((F26-$B$163)/F18,0,1,TRUE())</f>
        <v>8.320430460153012E-34</v>
      </c>
      <c r="U163">
        <f>NORMDIST($B$163,0,$B$7,FALSE())*NORMDIST((F61-$B$163)/F18,0,1,TRUE())</f>
        <v>1.000895213102946E-24</v>
      </c>
      <c r="V163">
        <f>NORMDIST($B$163,0,$B$7,FALSE())*NORMDIST((G26-$B$163)/G18,0,1,TRUE())</f>
        <v>0</v>
      </c>
      <c r="W163">
        <f>NORMDIST($B$163,0,$B$7,FALSE())*NORMDIST((G61-$B$163)/G18,0,1,TRUE())</f>
        <v>0</v>
      </c>
      <c r="X163">
        <f>NORMDIST($B$163,0,$B$7,FALSE())*NORMDIST((H26-$B$163)/H18,0,1,TRUE())</f>
        <v>7.9558373244482506E-12</v>
      </c>
      <c r="Y163">
        <f>NORMDIST($B$163,0,$B$7,FALSE())*NORMDIST((H61-$B$163)/H18,0,1,TRUE())</f>
        <v>1.2751122435305235E-8</v>
      </c>
      <c r="Z163">
        <f>NORMDIST($B$163,0,$B$7,FALSE())*NORMDIST((J26-$B$163)/J18,0,1,TRUE())</f>
        <v>1.4146366982128297E-17</v>
      </c>
      <c r="AA163">
        <f>NORMDIST($B$163,0,$B$7,FALSE())*NORMDIST((J61-$B$163)/J18,0,1,TRUE())</f>
        <v>1.540562000823554E-12</v>
      </c>
      <c r="AB163">
        <f>NORMDIST($B$163,0,$B$7,FALSE())*NORMDIST((K26-$B$163)/K18,0,1,TRUE())</f>
        <v>6.7092114665272558E-25</v>
      </c>
      <c r="AC163">
        <f>NORMDIST($B$163,0,$B$7,FALSE())*NORMDIST((K61-$B$163)/K18,0,1,TRUE())</f>
        <v>8.4743242061806338E-18</v>
      </c>
      <c r="AD163">
        <f>NORMDIST($B$163,0,$B$7,FALSE())*NORMDIST((L26-$B$163)/L18,0,1,TRUE())</f>
        <v>8.320430460153012E-34</v>
      </c>
      <c r="AE163">
        <f>NORMDIST($B$163,0,$B$7,FALSE())*NORMDIST((L61-$B$163)/L18,0,1,TRUE())</f>
        <v>1.000895213102946E-24</v>
      </c>
    </row>
    <row r="164" spans="1:31" ht="15" customHeight="1" x14ac:dyDescent="0.25">
      <c r="B164">
        <f>$B$5+(0.5+12)*$B$151</f>
        <v>4.0856886755841728</v>
      </c>
      <c r="N164">
        <f>NORMDIST($B$164,0,$B$7,FALSE())*NORMDIST((C26-$B$164)/C18,0,1,TRUE())</f>
        <v>6.7292234815965558E-13</v>
      </c>
      <c r="O164">
        <f>NORMDIST($B$164,0,$B$7,FALSE())*NORMDIST((C61-$B$164)/C18,0,1,TRUE())</f>
        <v>1.6947436190401827E-9</v>
      </c>
      <c r="P164">
        <f>NORMDIST($B$164,0,$B$7,FALSE())*NORMDIST((D26-$B$164)/D18,0,1,TRUE())</f>
        <v>9.4925573254255478E-20</v>
      </c>
      <c r="Q164">
        <f>NORMDIST($B$164,0,$B$7,FALSE())*NORMDIST((D61-$B$164)/D18,0,1,TRUE())</f>
        <v>2.6978816266432019E-14</v>
      </c>
      <c r="R164">
        <f>NORMDIST($B$164,0,$B$7,FALSE())*NORMDIST((E26-$B$164)/E18,0,1,TRUE())</f>
        <v>3.8609464841996857E-22</v>
      </c>
      <c r="S164">
        <f>NORMDIST($B$164,0,$B$7,FALSE())*NORMDIST((E61-$B$164)/E18,0,1,TRUE())</f>
        <v>4.9805036816421853E-16</v>
      </c>
      <c r="T164">
        <f>NORMDIST($B$164,0,$B$7,FALSE())*NORMDIST((F26-$B$164)/F18,0,1,TRUE())</f>
        <v>2.331441138935864E-38</v>
      </c>
      <c r="U164">
        <f>NORMDIST($B$164,0,$B$7,FALSE())*NORMDIST((F61-$B$164)/F18,0,1,TRUE())</f>
        <v>1.4202484221129546E-28</v>
      </c>
      <c r="V164">
        <f>NORMDIST($B$164,0,$B$7,FALSE())*NORMDIST((G26-$B$164)/G18,0,1,TRUE())</f>
        <v>0</v>
      </c>
      <c r="W164">
        <f>NORMDIST($B$164,0,$B$7,FALSE())*NORMDIST((G61-$B$164)/G18,0,1,TRUE())</f>
        <v>0</v>
      </c>
      <c r="X164">
        <f>NORMDIST($B$164,0,$B$7,FALSE())*NORMDIST((H26-$B$164)/H18,0,1,TRUE())</f>
        <v>6.7292234815965558E-13</v>
      </c>
      <c r="Y164">
        <f>NORMDIST($B$164,0,$B$7,FALSE())*NORMDIST((H61-$B$164)/H18,0,1,TRUE())</f>
        <v>1.6947436190401827E-9</v>
      </c>
      <c r="Z164">
        <f>NORMDIST($B$164,0,$B$7,FALSE())*NORMDIST((J26-$B$164)/J18,0,1,TRUE())</f>
        <v>1.6107708399844784E-19</v>
      </c>
      <c r="AA164">
        <f>NORMDIST($B$164,0,$B$7,FALSE())*NORMDIST((J61-$B$164)/J18,0,1,TRUE())</f>
        <v>3.9467452786928984E-14</v>
      </c>
      <c r="AB164">
        <f>NORMDIST($B$164,0,$B$7,FALSE())*NORMDIST((K26-$B$164)/K18,0,1,TRUE())</f>
        <v>5.2887400436945646E-28</v>
      </c>
      <c r="AC164">
        <f>NORMDIST($B$164,0,$B$7,FALSE())*NORMDIST((K61-$B$164)/K18,0,1,TRUE())</f>
        <v>2.2694156151906157E-20</v>
      </c>
      <c r="AD164">
        <f>NORMDIST($B$164,0,$B$7,FALSE())*NORMDIST((L26-$B$164)/L18,0,1,TRUE())</f>
        <v>2.331441138935864E-38</v>
      </c>
      <c r="AE164">
        <f>NORMDIST($B$164,0,$B$7,FALSE())*NORMDIST((L61-$B$164)/L18,0,1,TRUE())</f>
        <v>1.4202484221129546E-28</v>
      </c>
    </row>
    <row r="165" spans="1:31" ht="15" customHeight="1" x14ac:dyDescent="0.25">
      <c r="B165">
        <f>$B$5+(0.5+13)*$B$151</f>
        <v>4.2525437696309067</v>
      </c>
      <c r="C165" s="128">
        <f>2*$B$151*SUM(N152:N181)</f>
        <v>6.4839026410326746E-4</v>
      </c>
      <c r="D165" s="128">
        <f>2*$B$151*SUM(P152:P181)</f>
        <v>4.3901616539105521E-4</v>
      </c>
      <c r="E165" s="128">
        <f>2*$B$151*SUM(R152:R181)</f>
        <v>3.9766065973418074E-4</v>
      </c>
      <c r="F165" s="128">
        <f>2*$B$151*SUM(T152:T181)</f>
        <v>2.4650125123759317E-4</v>
      </c>
      <c r="G165" s="128">
        <f>2*$B$151*SUM(V152:V181)</f>
        <v>1.1590293608181347E-11</v>
      </c>
      <c r="H165" s="128">
        <f>2*$B$151*SUM(X152:X181)</f>
        <v>6.4839026410326746E-4</v>
      </c>
      <c r="J165" s="128">
        <f>2*$B$151*SUM(Z152:Z181)</f>
        <v>4.4351642211980583E-4</v>
      </c>
      <c r="K165" s="128">
        <f>2*$B$151*SUM(AB152:AB181)</f>
        <v>3.2494471835186765E-4</v>
      </c>
      <c r="L165" s="128">
        <f>2*$B$151*SUM(AD152:AD181)</f>
        <v>2.4650125123759317E-4</v>
      </c>
      <c r="N165">
        <f>NORMDIST($B$165,0,$B$7,FALSE())*NORMDIST((C26-$B$165)/C18,0,1,TRUE())</f>
        <v>5.0150753164305391E-14</v>
      </c>
      <c r="O165">
        <f>NORMDIST($B$165,0,$B$7,FALSE())*NORMDIST((C61-$B$165)/C18,0,1,TRUE())</f>
        <v>1.9874983216254403E-10</v>
      </c>
      <c r="P165">
        <f>NORMDIST($B$165,0,$B$7,FALSE())*NORMDIST((D26-$B$165)/D18,0,1,TRUE())</f>
        <v>7.6846358065253169E-22</v>
      </c>
      <c r="Q165">
        <f>NORMDIST($B$165,0,$B$7,FALSE())*NORMDIST((D61-$B$165)/D18,0,1,TRUE())</f>
        <v>4.9807228562165869E-16</v>
      </c>
      <c r="R165">
        <f>NORMDIST($B$165,0,$B$7,FALSE())*NORMDIST((E26-$B$165)/E18,0,1,TRUE())</f>
        <v>1.4065733915608516E-24</v>
      </c>
      <c r="S165">
        <f>NORMDIST($B$165,0,$B$7,FALSE())*NORMDIST((E61-$B$165)/E18,0,1,TRUE())</f>
        <v>4.6667563498824693E-18</v>
      </c>
      <c r="T165">
        <f>NORMDIST($B$165,0,$B$7,FALSE())*NORMDIST((F26-$B$165)/F18,0,1,TRUE())</f>
        <v>3.2137126647963014E-43</v>
      </c>
      <c r="U165">
        <f>NORMDIST($B$165,0,$B$7,FALSE())*NORMDIST((F61-$B$165)/F18,0,1,TRUE())</f>
        <v>9.9308838581162106E-33</v>
      </c>
      <c r="V165">
        <f>NORMDIST($B$165,0,$B$7,FALSE())*NORMDIST((G26-$B$165)/G18,0,1,TRUE())</f>
        <v>0</v>
      </c>
      <c r="W165">
        <f>NORMDIST($B$165,0,$B$7,FALSE())*NORMDIST((G61-$B$165)/G18,0,1,TRUE())</f>
        <v>0</v>
      </c>
      <c r="X165">
        <f>NORMDIST($B$165,0,$B$7,FALSE())*NORMDIST((H26-$B$165)/H18,0,1,TRUE())</f>
        <v>5.0150753164305391E-14</v>
      </c>
      <c r="Y165">
        <f>NORMDIST($B$165,0,$B$7,FALSE())*NORMDIST((H61-$B$165)/H18,0,1,TRUE())</f>
        <v>1.9874983216254403E-10</v>
      </c>
      <c r="Z165">
        <f>NORMDIST($B$165,0,$B$7,FALSE())*NORMDIST((J26-$B$165)/J18,0,1,TRUE())</f>
        <v>1.4072415586204186E-21</v>
      </c>
      <c r="AA165">
        <f>NORMDIST($B$165,0,$B$7,FALSE())*NORMDIST((J61-$B$165)/J18,0,1,TRUE())</f>
        <v>7.7712481286715974E-16</v>
      </c>
      <c r="AB165">
        <f>NORMDIST($B$165,0,$B$7,FALSE())*NORMDIST((K26-$B$165)/K18,0,1,TRUE())</f>
        <v>2.6338183619818322E-31</v>
      </c>
      <c r="AC165">
        <f>NORMDIST($B$165,0,$B$7,FALSE())*NORMDIST((K61-$B$165)/K18,0,1,TRUE())</f>
        <v>3.8464302032234696E-23</v>
      </c>
      <c r="AD165">
        <f>NORMDIST($B$165,0,$B$7,FALSE())*NORMDIST((L26-$B$165)/L18,0,1,TRUE())</f>
        <v>3.2137126647963014E-43</v>
      </c>
      <c r="AE165">
        <f>NORMDIST($B$165,0,$B$7,FALSE())*NORMDIST((L61-$B$165)/L18,0,1,TRUE())</f>
        <v>9.9308838581162106E-33</v>
      </c>
    </row>
    <row r="166" spans="1:31" ht="15" customHeight="1" x14ac:dyDescent="0.25">
      <c r="B166">
        <f>$B$5+(0.5+14)*$B$151</f>
        <v>4.4193988636776407</v>
      </c>
      <c r="C166" s="128">
        <f>2*$B$151*SUM(O152:O181)</f>
        <v>1.1351471938479659E-2</v>
      </c>
      <c r="D166" s="128">
        <f>2*$B$151*SUM(Q152:Q181)</f>
        <v>1.1987180821103881E-2</v>
      </c>
      <c r="E166" s="128">
        <f>2*$B$151*SUM(S152:S181)</f>
        <v>1.2115497263080073E-2</v>
      </c>
      <c r="F166" s="128">
        <f>2*$B$151*SUM(U152:U181)</f>
        <v>1.1554716539994202E-2</v>
      </c>
      <c r="G166" s="128">
        <f>2*$B$151*SUM(W152:W181)</f>
        <v>4.0278510495778451E-7</v>
      </c>
      <c r="H166" s="128">
        <f>2*$B$151*SUM(Y152:Y181)</f>
        <v>1.1351471938479659E-2</v>
      </c>
      <c r="J166" s="128">
        <f>2*$B$151*SUM(AA152:AA181)</f>
        <v>1.1973225728545213E-2</v>
      </c>
      <c r="K166" s="128">
        <f>2*$B$151*SUM(AC152:AC181)</f>
        <v>1.2338691094952821E-2</v>
      </c>
      <c r="L166" s="128">
        <f>2*$B$151*SUM(AE152:AE181)</f>
        <v>1.1554716539994202E-2</v>
      </c>
      <c r="N166">
        <f>NORMDIST($B$166,0,$B$7,FALSE())*NORMDIST((C26-$B$166)/C18,0,1,TRUE())</f>
        <v>3.2924850715296574E-15</v>
      </c>
      <c r="O166">
        <f>NORMDIST($B$166,0,$B$7,FALSE())*NORMDIST((C61-$B$166)/C18,0,1,TRUE())</f>
        <v>2.0557624310619293E-11</v>
      </c>
      <c r="P166">
        <f>NORMDIST($B$166,0,$B$7,FALSE())*NORMDIST((D26-$B$166)/D18,0,1,TRUE())</f>
        <v>4.7473683249055746E-24</v>
      </c>
      <c r="Q166">
        <f>NORMDIST($B$166,0,$B$7,FALSE())*NORMDIST((D61-$B$166)/D18,0,1,TRUE())</f>
        <v>7.0271283576554986E-18</v>
      </c>
      <c r="R166">
        <f>NORMDIST($B$166,0,$B$7,FALSE())*NORMDIST((E26-$B$166)/E18,0,1,TRUE())</f>
        <v>3.7065866883085132E-27</v>
      </c>
      <c r="S166">
        <f>NORMDIST($B$166,0,$B$7,FALSE())*NORMDIST((E61-$B$166)/E18,0,1,TRUE())</f>
        <v>3.1676493351082249E-20</v>
      </c>
      <c r="T166">
        <f>NORMDIST($B$166,0,$B$7,FALSE())*NORMDIST((F26-$B$166)/F18,0,1,TRUE())</f>
        <v>2.1780529067007146E-48</v>
      </c>
      <c r="U166">
        <f>NORMDIST($B$166,0,$B$7,FALSE())*NORMDIST((F61-$B$166)/F18,0,1,TRUE())</f>
        <v>3.4189892042638037E-37</v>
      </c>
      <c r="V166">
        <f>NORMDIST($B$166,0,$B$7,FALSE())*NORMDIST((G26-$B$166)/G18,0,1,TRUE())</f>
        <v>0</v>
      </c>
      <c r="W166">
        <f>NORMDIST($B$166,0,$B$7,FALSE())*NORMDIST((G61-$B$166)/G18,0,1,TRUE())</f>
        <v>0</v>
      </c>
      <c r="X166">
        <f>NORMDIST($B$166,0,$B$7,FALSE())*NORMDIST((H26-$B$166)/H18,0,1,TRUE())</f>
        <v>3.2924850715296574E-15</v>
      </c>
      <c r="Y166">
        <f>NORMDIST($B$166,0,$B$7,FALSE())*NORMDIST((H61-$B$166)/H18,0,1,TRUE())</f>
        <v>2.0557624310619293E-11</v>
      </c>
      <c r="Z166">
        <f>NORMDIST($B$166,0,$B$7,FALSE())*NORMDIST((J26-$B$166)/J18,0,1,TRUE())</f>
        <v>9.4296403988303642E-24</v>
      </c>
      <c r="AA166">
        <f>NORMDIST($B$166,0,$B$7,FALSE())*NORMDIST((J61-$B$166)/J18,0,1,TRUE())</f>
        <v>1.1753280776180342E-17</v>
      </c>
      <c r="AB166">
        <f>NORMDIST($B$166,0,$B$7,FALSE())*NORMDIST((K26-$B$166)/K18,0,1,TRUE())</f>
        <v>8.2828006561525784E-35</v>
      </c>
      <c r="AC166">
        <f>NORMDIST($B$166,0,$B$7,FALSE())*NORMDIST((K61-$B$166)/K18,0,1,TRUE())</f>
        <v>4.1229127422340013E-26</v>
      </c>
      <c r="AD166">
        <f>NORMDIST($B$166,0,$B$7,FALSE())*NORMDIST((L26-$B$166)/L18,0,1,TRUE())</f>
        <v>2.1780529067007146E-48</v>
      </c>
      <c r="AE166">
        <f>NORMDIST($B$166,0,$B$7,FALSE())*NORMDIST((L61-$B$166)/L18,0,1,TRUE())</f>
        <v>3.4189892042638037E-37</v>
      </c>
    </row>
    <row r="167" spans="1:31" ht="15" customHeight="1" x14ac:dyDescent="0.25">
      <c r="B167">
        <f>$B$5+(0.5+15)*$B$151</f>
        <v>4.5862539577243746</v>
      </c>
      <c r="N167">
        <f>NORMDIST($B$167,0,$B$7,FALSE())*NORMDIST((C26-$B$167)/C18,0,1,TRUE())</f>
        <v>1.9037799211376778E-16</v>
      </c>
      <c r="O167">
        <f>NORMDIST($B$167,0,$B$7,FALSE())*NORMDIST((C61-$B$167)/C18,0,1,TRUE())</f>
        <v>1.8747579745386469E-12</v>
      </c>
      <c r="P167">
        <f>NORMDIST($B$167,0,$B$7,FALSE())*NORMDIST((D26-$B$167)/D18,0,1,TRUE())</f>
        <v>2.2373760635772647E-26</v>
      </c>
      <c r="Q167">
        <f>NORMDIST($B$167,0,$B$7,FALSE())*NORMDIST((D61-$B$167)/D18,0,1,TRUE())</f>
        <v>7.5726748192582767E-20</v>
      </c>
      <c r="R167">
        <f>NORMDIST($B$167,0,$B$7,FALSE())*NORMDIST((E26-$B$167)/E18,0,1,TRUE())</f>
        <v>7.0629335761662176E-30</v>
      </c>
      <c r="S167">
        <f>NORMDIST($B$167,0,$B$7,FALSE())*NORMDIST((E61-$B$167)/E18,0,1,TRUE())</f>
        <v>1.5566603901702987E-22</v>
      </c>
      <c r="T167">
        <f>NORMDIST($B$167,0,$B$7,FALSE())*NORMDIST((F26-$B$167)/F18,0,1,TRUE())</f>
        <v>7.254724108372125E-54</v>
      </c>
      <c r="U167">
        <f>NORMDIST($B$167,0,$B$7,FALSE())*NORMDIST((F61-$B$167)/F18,0,1,TRUE())</f>
        <v>5.7916298490321295E-42</v>
      </c>
      <c r="V167">
        <f>NORMDIST($B$167,0,$B$7,FALSE())*NORMDIST((G26-$B$167)/G18,0,1,TRUE())</f>
        <v>0</v>
      </c>
      <c r="W167">
        <f>NORMDIST($B$167,0,$B$7,FALSE())*NORMDIST((G61-$B$167)/G18,0,1,TRUE())</f>
        <v>0</v>
      </c>
      <c r="X167">
        <f>NORMDIST($B$167,0,$B$7,FALSE())*NORMDIST((H26-$B$167)/H18,0,1,TRUE())</f>
        <v>1.9037799211376778E-16</v>
      </c>
      <c r="Y167">
        <f>NORMDIST($B$167,0,$B$7,FALSE())*NORMDIST((H61-$B$167)/H18,0,1,TRUE())</f>
        <v>1.8747579745386469E-12</v>
      </c>
      <c r="Z167">
        <f>NORMDIST($B$167,0,$B$7,FALSE())*NORMDIST((J26-$B$167)/J18,0,1,TRUE())</f>
        <v>4.8448594506678899E-26</v>
      </c>
      <c r="AA167">
        <f>NORMDIST($B$167,0,$B$7,FALSE())*NORMDIST((J61-$B$167)/J18,0,1,TRUE())</f>
        <v>1.364632297843243E-19</v>
      </c>
      <c r="AB167">
        <f>NORMDIST($B$167,0,$B$7,FALSE())*NORMDIST((K26-$B$167)/K18,0,1,TRUE())</f>
        <v>1.6442284336057913E-38</v>
      </c>
      <c r="AC167">
        <f>NORMDIST($B$167,0,$B$7,FALSE())*NORMDIST((K61-$B$167)/K18,0,1,TRUE())</f>
        <v>2.7930669506739855E-29</v>
      </c>
      <c r="AD167">
        <f>NORMDIST($B$167,0,$B$7,FALSE())*NORMDIST((L26-$B$167)/L18,0,1,TRUE())</f>
        <v>7.254724108372125E-54</v>
      </c>
      <c r="AE167">
        <f>NORMDIST($B$167,0,$B$7,FALSE())*NORMDIST((L61-$B$167)/L18,0,1,TRUE())</f>
        <v>5.7916298490321295E-42</v>
      </c>
    </row>
    <row r="168" spans="1:31" ht="15" customHeight="1" x14ac:dyDescent="0.25">
      <c r="B168">
        <f>$B$5+(0.5+16)*$B$151</f>
        <v>4.7531090517711085</v>
      </c>
      <c r="C168" s="128">
        <f t="shared" ref="C168:H168" si="143">2*$B$151*SUMPRODUCT(NORMDIST($B$152:$B$181,0,$B$7,FALSE()),NORMDIST(($B$5-$B$152:$B$181)/C18,0,1,TRUE()))</f>
        <v>2.3886137094886253E-2</v>
      </c>
      <c r="D168" s="128">
        <f t="shared" si="143"/>
        <v>1.7695161568450888E-2</v>
      </c>
      <c r="E168" s="128">
        <f t="shared" si="143"/>
        <v>1.6403777357717256E-2</v>
      </c>
      <c r="F168" s="128">
        <f t="shared" si="143"/>
        <v>1.1554716539994202E-2</v>
      </c>
      <c r="G168" s="128">
        <f t="shared" si="143"/>
        <v>4.0278510495778451E-7</v>
      </c>
      <c r="H168" s="128">
        <f t="shared" si="143"/>
        <v>2.3886137094886253E-2</v>
      </c>
      <c r="J168" s="128">
        <f>2*$B$151*SUMPRODUCT(NORMDIST($B$152:$B$181,0,$B$7,FALSE()),NORMDIST(($B$5-$B$152:$B$181)/J18,0,1,TRUE()))</f>
        <v>1.7834513123033004E-2</v>
      </c>
      <c r="K168" s="128">
        <f>2*$B$151*SUMPRODUCT(NORMDIST($B$152:$B$181,0,$B$7,FALSE()),NORMDIST(($B$5-$B$152:$B$181)/K18,0,1,TRUE()))</f>
        <v>1.4092025158352854E-2</v>
      </c>
      <c r="L168" s="128">
        <f>2*$B$151*SUMPRODUCT(NORMDIST($B$152:$B$181,0,$B$7,FALSE()),NORMDIST(($B$5-$B$152:$B$181)/L18,0,1,TRUE()))</f>
        <v>1.1554716539994202E-2</v>
      </c>
      <c r="N168">
        <f>NORMDIST($B$168,0,$B$7,FALSE())*NORMDIST((C26-$B$168)/C18,0,1,TRUE())</f>
        <v>9.6934729225222736E-18</v>
      </c>
      <c r="O168">
        <f>NORMDIST($B$168,0,$B$7,FALSE())*NORMDIST((C61-$B$168)/C18,0,1,TRUE())</f>
        <v>1.5069131316373026E-13</v>
      </c>
      <c r="P168">
        <f>NORMDIST($B$168,0,$B$7,FALSE())*NORMDIST((D26-$B$168)/D18,0,1,TRUE())</f>
        <v>8.0420525891305061E-29</v>
      </c>
      <c r="Q168">
        <f>NORMDIST($B$168,0,$B$7,FALSE())*NORMDIST((D61-$B$168)/D18,0,1,TRUE())</f>
        <v>6.230369558687056E-22</v>
      </c>
      <c r="R168">
        <f>NORMDIST($B$168,0,$B$7,FALSE())*NORMDIST((E26-$B$168)/E18,0,1,TRUE())</f>
        <v>9.7290851369697298E-33</v>
      </c>
      <c r="S168">
        <f>NORMDIST($B$168,0,$B$7,FALSE())*NORMDIST((E61-$B$168)/E18,0,1,TRUE())</f>
        <v>5.5358069232085405E-25</v>
      </c>
      <c r="T168">
        <f>NORMDIST($B$168,0,$B$7,FALSE())*NORMDIST((F26-$B$168)/F18,0,1,TRUE())</f>
        <v>1.1871522315180921E-59</v>
      </c>
      <c r="U168">
        <f>NORMDIST($B$168,0,$B$7,FALSE())*NORMDIST((F61-$B$168)/F18,0,1,TRUE())</f>
        <v>4.8245474502401431E-47</v>
      </c>
      <c r="V168">
        <f>NORMDIST($B$168,0,$B$7,FALSE())*NORMDIST((G26-$B$168)/G18,0,1,TRUE())</f>
        <v>0</v>
      </c>
      <c r="W168">
        <f>NORMDIST($B$168,0,$B$7,FALSE())*NORMDIST((G61-$B$168)/G18,0,1,TRUE())</f>
        <v>0</v>
      </c>
      <c r="X168">
        <f>NORMDIST($B$168,0,$B$7,FALSE())*NORMDIST((H26-$B$168)/H18,0,1,TRUE())</f>
        <v>9.6934729225222736E-18</v>
      </c>
      <c r="Y168">
        <f>NORMDIST($B$168,0,$B$7,FALSE())*NORMDIST((H61-$B$168)/H18,0,1,TRUE())</f>
        <v>1.5069131316373026E-13</v>
      </c>
      <c r="Z168">
        <f>NORMDIST($B$168,0,$B$7,FALSE())*NORMDIST((J26-$B$168)/J18,0,1,TRUE())</f>
        <v>1.9081528951231126E-28</v>
      </c>
      <c r="AA168">
        <f>NORMDIST($B$168,0,$B$7,FALSE())*NORMDIST((J61-$B$168)/J18,0,1,TRUE())</f>
        <v>1.215818711971814E-21</v>
      </c>
      <c r="AB168">
        <f>NORMDIST($B$168,0,$B$7,FALSE())*NORMDIST((K26-$B$168)/K18,0,1,TRUE())</f>
        <v>2.0596866773361842E-42</v>
      </c>
      <c r="AC168">
        <f>NORMDIST($B$168,0,$B$7,FALSE())*NORMDIST((K61-$B$168)/K18,0,1,TRUE())</f>
        <v>1.1952670831978832E-32</v>
      </c>
      <c r="AD168">
        <f>NORMDIST($B$168,0,$B$7,FALSE())*NORMDIST((L26-$B$168)/L18,0,1,TRUE())</f>
        <v>1.1871522315180921E-59</v>
      </c>
      <c r="AE168">
        <f>NORMDIST($B$168,0,$B$7,FALSE())*NORMDIST((L61-$B$168)/L18,0,1,TRUE())</f>
        <v>4.8245474502401431E-47</v>
      </c>
    </row>
    <row r="169" spans="1:31" ht="15" customHeight="1" x14ac:dyDescent="0.25">
      <c r="B169">
        <f>$B$5+(0.5+17)*$B$151</f>
        <v>4.9199641458178425</v>
      </c>
      <c r="N169">
        <f>NORMDIST($B$169,0,$B$7,FALSE())*NORMDIST((C26-$B$169)/C18,0,1,TRUE())</f>
        <v>4.3455407839985234E-19</v>
      </c>
      <c r="O169">
        <f>NORMDIST($B$169,0,$B$7,FALSE())*NORMDIST((C61-$B$169)/C18,0,1,TRUE())</f>
        <v>1.0672954916185409E-14</v>
      </c>
      <c r="P169">
        <f>NORMDIST($B$169,0,$B$7,FALSE())*NORMDIST((D26-$B$169)/D18,0,1,TRUE())</f>
        <v>2.2041313363354044E-31</v>
      </c>
      <c r="Q169">
        <f>NORMDIST($B$169,0,$B$7,FALSE())*NORMDIST((D61-$B$169)/D18,0,1,TRUE())</f>
        <v>3.9120856342817838E-24</v>
      </c>
      <c r="R169">
        <f>NORMDIST($B$169,0,$B$7,FALSE())*NORMDIST((E26-$B$169)/E18,0,1,TRUE())</f>
        <v>9.6856435779622298E-36</v>
      </c>
      <c r="S169">
        <f>NORMDIST($B$169,0,$B$7,FALSE())*NORMDIST((E61-$B$169)/E18,0,1,TRUE())</f>
        <v>1.4240529216407505E-27</v>
      </c>
      <c r="T169">
        <f>NORMDIST($B$169,0,$B$7,FALSE())*NORMDIST((F26-$B$169)/F18,0,1,TRUE())</f>
        <v>9.5409287344299565E-66</v>
      </c>
      <c r="U169">
        <f>NORMDIST($B$169,0,$B$7,FALSE())*NORMDIST((F61-$B$169)/F18,0,1,TRUE())</f>
        <v>1.9754466823677808E-52</v>
      </c>
      <c r="V169">
        <f>NORMDIST($B$169,0,$B$7,FALSE())*NORMDIST((G26-$B$169)/G18,0,1,TRUE())</f>
        <v>0</v>
      </c>
      <c r="W169">
        <f>NORMDIST($B$169,0,$B$7,FALSE())*NORMDIST((G61-$B$169)/G18,0,1,TRUE())</f>
        <v>0</v>
      </c>
      <c r="X169">
        <f>NORMDIST($B$169,0,$B$7,FALSE())*NORMDIST((H26-$B$169)/H18,0,1,TRUE())</f>
        <v>4.3455407839985234E-19</v>
      </c>
      <c r="Y169">
        <f>NORMDIST($B$169,0,$B$7,FALSE())*NORMDIST((H61-$B$169)/H18,0,1,TRUE())</f>
        <v>1.0672954916185409E-14</v>
      </c>
      <c r="Z169">
        <f>NORMDIST($B$169,0,$B$7,FALSE())*NORMDIST((J26-$B$169)/J18,0,1,TRUE())</f>
        <v>5.759604043618714E-31</v>
      </c>
      <c r="AA169">
        <f>NORMDIST($B$169,0,$B$7,FALSE())*NORMDIST((J61-$B$169)/J18,0,1,TRUE())</f>
        <v>8.3091501967887178E-24</v>
      </c>
      <c r="AB169">
        <f>NORMDIST($B$169,0,$B$7,FALSE())*NORMDIST((K26-$B$169)/K18,0,1,TRUE())</f>
        <v>1.6277015760741935E-46</v>
      </c>
      <c r="AC169">
        <f>NORMDIST($B$169,0,$B$7,FALSE())*NORMDIST((K61-$B$169)/K18,0,1,TRUE())</f>
        <v>3.2297387392682147E-36</v>
      </c>
      <c r="AD169">
        <f>NORMDIST($B$169,0,$B$7,FALSE())*NORMDIST((L26-$B$169)/L18,0,1,TRUE())</f>
        <v>9.5409287344299565E-66</v>
      </c>
      <c r="AE169">
        <f>NORMDIST($B$169,0,$B$7,FALSE())*NORMDIST((L61-$B$169)/L18,0,1,TRUE())</f>
        <v>1.9754466823677808E-52</v>
      </c>
    </row>
    <row r="170" spans="1:31" ht="15" customHeight="1" x14ac:dyDescent="0.25">
      <c r="A170" s="230"/>
      <c r="B170">
        <f>$B$5+(0.5+18)*$B$151</f>
        <v>5.0868192398645764</v>
      </c>
      <c r="N170">
        <f>NORMDIST($B$170,0,$B$7,FALSE())*NORMDIST((C26-$B$170)/C18,0,1,TRUE())</f>
        <v>1.7149428861947802E-20</v>
      </c>
      <c r="O170">
        <f>NORMDIST($B$170,0,$B$7,FALSE())*NORMDIST((C61-$B$170)/C18,0,1,TRUE())</f>
        <v>6.659359360689351E-16</v>
      </c>
      <c r="P170">
        <f>NORMDIST($B$170,0,$B$7,FALSE())*NORMDIST((D26-$B$170)/D18,0,1,TRUE())</f>
        <v>4.6053665325268334E-34</v>
      </c>
      <c r="Q170">
        <f>NORMDIST($B$170,0,$B$7,FALSE())*NORMDIST((D61-$B$170)/D18,0,1,TRUE())</f>
        <v>1.8741052747471678E-26</v>
      </c>
      <c r="R170">
        <f>NORMDIST($B$170,0,$B$7,FALSE())*NORMDIST((E26-$B$170)/E18,0,1,TRUE())</f>
        <v>6.967263773910786E-39</v>
      </c>
      <c r="S170">
        <f>NORMDIST($B$170,0,$B$7,FALSE())*NORMDIST((E61-$B$170)/E18,0,1,TRUE())</f>
        <v>2.6490081925014134E-30</v>
      </c>
      <c r="T170">
        <f>NORMDIST($B$170,0,$B$7,FALSE())*NORMDIST((F26-$B$170)/F18,0,1,TRUE())</f>
        <v>3.7649443113471419E-72</v>
      </c>
      <c r="U170">
        <f>NORMDIST($B$170,0,$B$7,FALSE())*NORMDIST((F61-$B$170)/F18,0,1,TRUE())</f>
        <v>3.9742879440551576E-58</v>
      </c>
      <c r="V170">
        <f>NORMDIST($B$170,0,$B$7,FALSE())*NORMDIST((G26-$B$170)/G18,0,1,TRUE())</f>
        <v>0</v>
      </c>
      <c r="W170">
        <f>NORMDIST($B$170,0,$B$7,FALSE())*NORMDIST((G61-$B$170)/G18,0,1,TRUE())</f>
        <v>0</v>
      </c>
      <c r="X170">
        <f>NORMDIST($B$170,0,$B$7,FALSE())*NORMDIST((H26-$B$170)/H18,0,1,TRUE())</f>
        <v>1.7149428861947802E-20</v>
      </c>
      <c r="Y170">
        <f>NORMDIST($B$170,0,$B$7,FALSE())*NORMDIST((H61-$B$170)/H18,0,1,TRUE())</f>
        <v>6.659359360689351E-16</v>
      </c>
      <c r="Z170">
        <f>NORMDIST($B$170,0,$B$7,FALSE())*NORMDIST((J26-$B$170)/J18,0,1,TRUE())</f>
        <v>1.3320904357333603E-33</v>
      </c>
      <c r="AA170">
        <f>NORMDIST($B$170,0,$B$7,FALSE())*NORMDIST((J61-$B$170)/J18,0,1,TRUE())</f>
        <v>4.3545254902915405E-26</v>
      </c>
      <c r="AB170">
        <f>NORMDIST($B$170,0,$B$7,FALSE())*NORMDIST((K26-$B$170)/K18,0,1,TRUE())</f>
        <v>8.1129725094952644E-51</v>
      </c>
      <c r="AC170">
        <f>NORMDIST($B$170,0,$B$7,FALSE())*NORMDIST((K61-$B$170)/K18,0,1,TRUE())</f>
        <v>5.5084623956051203E-40</v>
      </c>
      <c r="AD170">
        <f>NORMDIST($B$170,0,$B$7,FALSE())*NORMDIST((L26-$B$170)/L18,0,1,TRUE())</f>
        <v>3.7649443113471419E-72</v>
      </c>
      <c r="AE170">
        <f>NORMDIST($B$170,0,$B$7,FALSE())*NORMDIST((L61-$B$170)/L18,0,1,TRUE())</f>
        <v>3.9742879440551576E-58</v>
      </c>
    </row>
    <row r="171" spans="1:31" ht="15" customHeight="1" x14ac:dyDescent="0.25">
      <c r="B171" s="130">
        <f>$B$5+(0.5+19)*$B$151</f>
        <v>5.2536743339113094</v>
      </c>
      <c r="N171">
        <f>NORMDIST($B$171,0,$B$7,FALSE())*NORMDIST((C26-$B$171)/C18,0,1,TRUE())</f>
        <v>5.957212018444882E-22</v>
      </c>
      <c r="O171">
        <f>NORMDIST($B$171,0,$B$7,FALSE())*NORMDIST((C61-$B$171)/C18,0,1,TRUE())</f>
        <v>3.659671818301429E-17</v>
      </c>
      <c r="P171">
        <f>NORMDIST($B$171,0,$B$7,FALSE())*NORMDIST((D26-$B$171)/D18,0,1,TRUE())</f>
        <v>7.3345136689535693E-37</v>
      </c>
      <c r="Q171">
        <f>NORMDIST($B$171,0,$B$7,FALSE())*NORMDIST((D61-$B$171)/D18,0,1,TRUE())</f>
        <v>6.8478048415016757E-29</v>
      </c>
      <c r="R171">
        <f>NORMDIST($B$171,0,$B$7,FALSE())*NORMDIST((E26-$B$171)/E18,0,1,TRUE())</f>
        <v>3.620701214611032E-42</v>
      </c>
      <c r="S171">
        <f>NORMDIST($B$171,0,$B$7,FALSE())*NORMDIST((E61-$B$171)/E18,0,1,TRUE())</f>
        <v>3.5622744707123185E-33</v>
      </c>
      <c r="T171">
        <f>NORMDIST($B$171,0,$B$7,FALSE())*NORMDIST((F26-$B$171)/F18,0,1,TRUE())</f>
        <v>7.2930774527690884E-79</v>
      </c>
      <c r="U171">
        <f>NORMDIST($B$171,0,$B$7,FALSE())*NORMDIST((F61-$B$171)/F18,0,1,TRUE())</f>
        <v>3.9273228060396544E-64</v>
      </c>
      <c r="V171">
        <f>NORMDIST($B$171,0,$B$7,FALSE())*NORMDIST((G26-$B$171)/G18,0,1,TRUE())</f>
        <v>0</v>
      </c>
      <c r="W171">
        <f>NORMDIST($B$171,0,$B$7,FALSE())*NORMDIST((G61-$B$171)/G18,0,1,TRUE())</f>
        <v>0</v>
      </c>
      <c r="X171">
        <f>NORMDIST($B$171,0,$B$7,FALSE())*NORMDIST((H26-$B$171)/H18,0,1,TRUE())</f>
        <v>5.957212018444882E-22</v>
      </c>
      <c r="Y171">
        <f>NORMDIST($B$171,0,$B$7,FALSE())*NORMDIST((H61-$B$171)/H18,0,1,TRUE())</f>
        <v>3.659671818301429E-17</v>
      </c>
      <c r="Z171">
        <f>NORMDIST($B$171,0,$B$7,FALSE())*NORMDIST((J26-$B$171)/J18,0,1,TRUE())</f>
        <v>2.3602671068364529E-36</v>
      </c>
      <c r="AA171">
        <f>NORMDIST($B$171,0,$B$7,FALSE())*NORMDIST((J61-$B$171)/J18,0,1,TRUE())</f>
        <v>1.7494551655027052E-28</v>
      </c>
      <c r="AB171">
        <f>NORMDIST($B$171,0,$B$7,FALSE())*NORMDIST((K26-$B$171)/K18,0,1,TRUE())</f>
        <v>2.5499247580389793E-55</v>
      </c>
      <c r="AC171">
        <f>NORMDIST($B$171,0,$B$7,FALSE())*NORMDIST((K61-$B$171)/K18,0,1,TRUE())</f>
        <v>5.9281512734458838E-44</v>
      </c>
      <c r="AD171">
        <f>NORMDIST($B$171,0,$B$7,FALSE())*NORMDIST((L26-$B$171)/L18,0,1,TRUE())</f>
        <v>7.2930774527690884E-79</v>
      </c>
      <c r="AE171">
        <f>NORMDIST($B$171,0,$B$7,FALSE())*NORMDIST((L61-$B$171)/L18,0,1,TRUE())</f>
        <v>3.9273228060396544E-64</v>
      </c>
    </row>
    <row r="172" spans="1:31" ht="15" customHeight="1" x14ac:dyDescent="0.25">
      <c r="B172">
        <f>$B$5+(0.5+20)*$B$151</f>
        <v>5.4205294279580443</v>
      </c>
      <c r="N172">
        <f>NORMDIST($B$172,0,$B$7,FALSE())*NORMDIST((C26-$B$172)/C18,0,1,TRUE())</f>
        <v>1.8212762443451744E-23</v>
      </c>
      <c r="O172">
        <f>NORMDIST($B$172,0,$B$7,FALSE())*NORMDIST((C61-$B$172)/C18,0,1,TRUE())</f>
        <v>1.7710674324253146E-18</v>
      </c>
      <c r="P172">
        <f>NORMDIST($B$172,0,$B$7,FALSE())*NORMDIST((D26-$B$172)/D18,0,1,TRUE())</f>
        <v>8.9020918093090815E-40</v>
      </c>
      <c r="Q172">
        <f>NORMDIST($B$172,0,$B$7,FALSE())*NORMDIST((D61-$B$172)/D18,0,1,TRUE())</f>
        <v>1.9079955771794837E-31</v>
      </c>
      <c r="R172">
        <f>NORMDIST($B$172,0,$B$7,FALSE())*NORMDIST((E26-$B$172)/E18,0,1,TRUE())</f>
        <v>1.3590923732590689E-45</v>
      </c>
      <c r="S172">
        <f>NORMDIST($B$172,0,$B$7,FALSE())*NORMDIST((E61-$B$172)/E18,0,1,TRUE())</f>
        <v>3.4621872758738663E-36</v>
      </c>
      <c r="T172">
        <f>NORMDIST($B$172,0,$B$7,FALSE())*NORMDIST((F26-$B$172)/F18,0,1,TRUE())</f>
        <v>6.9336382335404249E-86</v>
      </c>
      <c r="U172">
        <f>NORMDIST($B$172,0,$B$7,FALSE())*NORMDIST((F61-$B$172)/F18,0,1,TRUE())</f>
        <v>1.9057054690530744E-70</v>
      </c>
      <c r="V172">
        <f>NORMDIST($B$172,0,$B$7,FALSE())*NORMDIST((G26-$B$172)/G18,0,1,TRUE())</f>
        <v>0</v>
      </c>
      <c r="W172">
        <f>NORMDIST($B$172,0,$B$7,FALSE())*NORMDIST((G61-$B$172)/G18,0,1,TRUE())</f>
        <v>0</v>
      </c>
      <c r="X172">
        <f>NORMDIST($B$172,0,$B$7,FALSE())*NORMDIST((H26-$B$172)/H18,0,1,TRUE())</f>
        <v>1.8212762443451744E-23</v>
      </c>
      <c r="Y172">
        <f>NORMDIST($B$172,0,$B$7,FALSE())*NORMDIST((H61-$B$172)/H18,0,1,TRUE())</f>
        <v>1.7710674324253146E-18</v>
      </c>
      <c r="Z172">
        <f>NORMDIST($B$172,0,$B$7,FALSE())*NORMDIST((J26-$B$172)/J18,0,1,TRUE())</f>
        <v>3.2033812439987916E-39</v>
      </c>
      <c r="AA172">
        <f>NORMDIST($B$172,0,$B$7,FALSE())*NORMDIST((J61-$B$172)/J18,0,1,TRUE())</f>
        <v>5.3869122124421518E-31</v>
      </c>
      <c r="AB172">
        <f>NORMDIST($B$172,0,$B$7,FALSE())*NORMDIST((K26-$B$172)/K18,0,1,TRUE())</f>
        <v>5.0528768705927678E-60</v>
      </c>
      <c r="AC172">
        <f>NORMDIST($B$172,0,$B$7,FALSE())*NORMDIST((K61-$B$172)/K18,0,1,TRUE())</f>
        <v>4.0245613515194669E-48</v>
      </c>
      <c r="AD172">
        <f>NORMDIST($B$172,0,$B$7,FALSE())*NORMDIST((L26-$B$172)/L18,0,1,TRUE())</f>
        <v>6.9336382335404249E-86</v>
      </c>
      <c r="AE172">
        <f>NORMDIST($B$172,0,$B$7,FALSE())*NORMDIST((L61-$B$172)/L18,0,1,TRUE())</f>
        <v>1.9057054690530744E-70</v>
      </c>
    </row>
    <row r="173" spans="1:31" ht="15" customHeight="1" x14ac:dyDescent="0.25">
      <c r="B173">
        <f>$B$5+(0.5+21)*$B$151</f>
        <v>5.5873845220047773</v>
      </c>
      <c r="N173">
        <f>NORMDIST($B$173,0,$B$7,FALSE())*NORMDIST((C26-$B$173)/C18,0,1,TRUE())</f>
        <v>4.9000968031178587E-25</v>
      </c>
      <c r="O173">
        <f>NORMDIST($B$173,0,$B$7,FALSE())*NORMDIST((C61-$B$173)/C18,0,1,TRUE())</f>
        <v>7.5464346076737769E-20</v>
      </c>
      <c r="P173">
        <f>NORMDIST($B$173,0,$B$7,FALSE())*NORMDIST((D26-$B$173)/D18,0,1,TRUE())</f>
        <v>8.233174714997247E-43</v>
      </c>
      <c r="Q173">
        <f>NORMDIST($B$173,0,$B$7,FALSE())*NORMDIST((D61-$B$173)/D18,0,1,TRUE())</f>
        <v>4.053052177734602E-34</v>
      </c>
      <c r="R173">
        <f>NORMDIST($B$173,0,$B$7,FALSE())*NORMDIST((E26-$B$173)/E18,0,1,TRUE())</f>
        <v>3.6844154936378663E-49</v>
      </c>
      <c r="S173">
        <f>NORMDIST($B$173,0,$B$7,FALSE())*NORMDIST((E61-$B$173)/E18,0,1,TRUE())</f>
        <v>2.4314161497543812E-39</v>
      </c>
      <c r="T173">
        <f>NORMDIST($B$173,0,$B$7,FALSE())*NORMDIST((F26-$B$173)/F18,0,1,TRUE())</f>
        <v>3.2347013108709087E-93</v>
      </c>
      <c r="U173">
        <f>NORMDIST($B$173,0,$B$7,FALSE())*NORMDIST((F61-$B$173)/F18,0,1,TRUE())</f>
        <v>4.5397549363752642E-77</v>
      </c>
      <c r="V173">
        <f>NORMDIST($B$173,0,$B$7,FALSE())*NORMDIST((G26-$B$173)/G18,0,1,TRUE())</f>
        <v>0</v>
      </c>
      <c r="W173">
        <f>NORMDIST($B$173,0,$B$7,FALSE())*NORMDIST((G61-$B$173)/G18,0,1,TRUE())</f>
        <v>0</v>
      </c>
      <c r="X173">
        <f>NORMDIST($B$173,0,$B$7,FALSE())*NORMDIST((H26-$B$173)/H18,0,1,TRUE())</f>
        <v>4.9000968031178587E-25</v>
      </c>
      <c r="Y173">
        <f>NORMDIST($B$173,0,$B$7,FALSE())*NORMDIST((H61-$B$173)/H18,0,1,TRUE())</f>
        <v>7.5464346076737769E-20</v>
      </c>
      <c r="Z173">
        <f>NORMDIST($B$173,0,$B$7,FALSE())*NORMDIST((J26-$B$173)/J18,0,1,TRUE())</f>
        <v>3.3297941840272258E-42</v>
      </c>
      <c r="AA173">
        <f>NORMDIST($B$173,0,$B$7,FALSE())*NORMDIST((J61-$B$173)/J18,0,1,TRUE())</f>
        <v>1.2710503215613928E-33</v>
      </c>
      <c r="AB173">
        <f>NORMDIST($B$173,0,$B$7,FALSE())*NORMDIST((K26-$B$173)/K18,0,1,TRUE())</f>
        <v>6.3116860739949901E-65</v>
      </c>
      <c r="AC173">
        <f>NORMDIST($B$173,0,$B$7,FALSE())*NORMDIST((K61-$B$173)/K18,0,1,TRUE())</f>
        <v>1.7231712245854734E-52</v>
      </c>
      <c r="AD173">
        <f>NORMDIST($B$173,0,$B$7,FALSE())*NORMDIST((L26-$B$173)/L18,0,1,TRUE())</f>
        <v>3.2347013108709087E-93</v>
      </c>
      <c r="AE173">
        <f>NORMDIST($B$173,0,$B$7,FALSE())*NORMDIST((L61-$B$173)/L18,0,1,TRUE())</f>
        <v>4.5397549363752642E-77</v>
      </c>
    </row>
    <row r="174" spans="1:31" ht="15" customHeight="1" x14ac:dyDescent="0.25">
      <c r="B174">
        <f>$B$5+(0.5+22)*$B$151</f>
        <v>5.7542396160515121</v>
      </c>
      <c r="N174">
        <f>NORMDIST($B$174,0,$B$7,FALSE())*NORMDIST((C26-$B$174)/C18,0,1,TRUE())</f>
        <v>1.1600869346164388E-26</v>
      </c>
      <c r="O174">
        <f>NORMDIST($B$174,0,$B$7,FALSE())*NORMDIST((C61-$B$174)/C18,0,1,TRUE())</f>
        <v>2.8307440347003853E-21</v>
      </c>
      <c r="P174">
        <f>NORMDIST($B$174,0,$B$7,FALSE())*NORMDIST((D26-$B$174)/D18,0,1,TRUE())</f>
        <v>5.8015567118035982E-46</v>
      </c>
      <c r="Q174">
        <f>NORMDIST($B$174,0,$B$7,FALSE())*NORMDIST((D61-$B$174)/D18,0,1,TRUE())</f>
        <v>6.5627721286422176E-37</v>
      </c>
      <c r="R174">
        <f>NORMDIST($B$174,0,$B$7,FALSE())*NORMDIST((E26-$B$174)/E18,0,1,TRUE())</f>
        <v>7.2126707265038767E-53</v>
      </c>
      <c r="S174">
        <f>NORMDIST($B$174,0,$B$7,FALSE())*NORMDIST((E61-$B$174)/E18,0,1,TRUE())</f>
        <v>1.2335931504942623E-42</v>
      </c>
      <c r="T174">
        <f>NORMDIST($B$174,0,$B$7,FALSE())*NORMDIST((F26-$B$174)/F18,0,1,TRUE())</f>
        <v>7.4039508473966942E-101</v>
      </c>
      <c r="U174">
        <f>NORMDIST($B$174,0,$B$7,FALSE())*NORMDIST((F61-$B$174)/F18,0,1,TRUE())</f>
        <v>5.3080613041237913E-84</v>
      </c>
      <c r="V174">
        <f>NORMDIST($B$174,0,$B$7,FALSE())*NORMDIST((G26-$B$174)/G18,0,1,TRUE())</f>
        <v>0</v>
      </c>
      <c r="W174">
        <f>NORMDIST($B$174,0,$B$7,FALSE())*NORMDIST((G61-$B$174)/G18,0,1,TRUE())</f>
        <v>0</v>
      </c>
      <c r="X174">
        <f>NORMDIST($B$174,0,$B$7,FALSE())*NORMDIST((H26-$B$174)/H18,0,1,TRUE())</f>
        <v>1.1600869346164388E-26</v>
      </c>
      <c r="Y174">
        <f>NORMDIST($B$174,0,$B$7,FALSE())*NORMDIST((H61-$B$174)/H18,0,1,TRUE())</f>
        <v>2.8307440347003853E-21</v>
      </c>
      <c r="Z174">
        <f>NORMDIST($B$174,0,$B$7,FALSE())*NORMDIST((J26-$B$174)/J18,0,1,TRUE())</f>
        <v>2.6505450027774942E-45</v>
      </c>
      <c r="AA174">
        <f>NORMDIST($B$174,0,$B$7,FALSE())*NORMDIST((J61-$B$174)/J18,0,1,TRUE())</f>
        <v>2.2976991292153427E-36</v>
      </c>
      <c r="AB174">
        <f>NORMDIST($B$174,0,$B$7,FALSE())*NORMDIST((K26-$B$174)/K18,0,1,TRUE())</f>
        <v>4.9692031158491805E-70</v>
      </c>
      <c r="AC174">
        <f>NORMDIST($B$174,0,$B$7,FALSE())*NORMDIST((K61-$B$174)/K18,0,1,TRUE())</f>
        <v>4.6522405163497716E-57</v>
      </c>
      <c r="AD174">
        <f>NORMDIST($B$174,0,$B$7,FALSE())*NORMDIST((L26-$B$174)/L18,0,1,TRUE())</f>
        <v>7.4039508473966942E-101</v>
      </c>
      <c r="AE174">
        <f>NORMDIST($B$174,0,$B$7,FALSE())*NORMDIST((L61-$B$174)/L18,0,1,TRUE())</f>
        <v>5.3080613041237913E-84</v>
      </c>
    </row>
    <row r="175" spans="1:31" ht="15" customHeight="1" x14ac:dyDescent="0.25">
      <c r="B175">
        <f>$B$5+(0.5+23)*$B$151</f>
        <v>5.9210947100982452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J175">
        <v>0</v>
      </c>
      <c r="K175">
        <v>0</v>
      </c>
      <c r="L175">
        <v>0</v>
      </c>
      <c r="N175">
        <f>NORMDIST($B$175,0,$B$7,FALSE())*NORMDIST((C26-$B$175)/C18,0,1,TRUE())</f>
        <v>2.4165631753365583E-28</v>
      </c>
      <c r="O175">
        <f>NORMDIST($B$175,0,$B$7,FALSE())*NORMDIST((C61-$B$175)/C18,0,1,TRUE())</f>
        <v>9.3466608517629836E-23</v>
      </c>
      <c r="P175">
        <f>NORMDIST($B$175,0,$B$7,FALSE())*NORMDIST((D26-$B$175)/D18,0,1,TRUE())</f>
        <v>3.1144169251951423E-49</v>
      </c>
      <c r="Q175">
        <f>NORMDIST($B$175,0,$B$7,FALSE())*NORMDIST((D61-$B$175)/D18,0,1,TRUE())</f>
        <v>8.0988555582193872E-40</v>
      </c>
      <c r="R175">
        <f>NORMDIST($B$175,0,$B$7,FALSE())*NORMDIST((E26-$B$175)/E18,0,1,TRUE())</f>
        <v>1.0194879191368892E-56</v>
      </c>
      <c r="S175">
        <f>NORMDIST($B$175,0,$B$7,FALSE())*NORMDIST((E61-$B$175)/E18,0,1,TRUE())</f>
        <v>4.5208160272105527E-46</v>
      </c>
      <c r="T175">
        <f>NORMDIST($B$175,0,$B$7,FALSE())*NORMDIST((F26-$B$175)/F18,0,1,TRUE())</f>
        <v>8.3136281501861165E-109</v>
      </c>
      <c r="U175">
        <f>NORMDIST($B$175,0,$B$7,FALSE())*NORMDIST((F61-$B$175)/F18,0,1,TRUE())</f>
        <v>3.0457015086698129E-91</v>
      </c>
      <c r="V175">
        <f>NORMDIST($B$175,0,$B$7,FALSE())*NORMDIST((G26-$B$175)/G18,0,1,TRUE())</f>
        <v>0</v>
      </c>
      <c r="W175">
        <f>NORMDIST($B$175,0,$B$7,FALSE())*NORMDIST((G61-$B$175)/G18,0,1,TRUE())</f>
        <v>0</v>
      </c>
      <c r="X175">
        <f>NORMDIST($B$175,0,$B$7,FALSE())*NORMDIST((H26-$B$175)/H18,0,1,TRUE())</f>
        <v>2.4165631753365583E-28</v>
      </c>
      <c r="Y175">
        <f>NORMDIST($B$175,0,$B$7,FALSE())*NORMDIST((H61-$B$175)/H18,0,1,TRUE())</f>
        <v>9.3466608517629836E-23</v>
      </c>
      <c r="Z175">
        <f>NORMDIST($B$175,0,$B$7,FALSE())*NORMDIST((J26-$B$175)/J18,0,1,TRUE())</f>
        <v>1.6155310915350113E-48</v>
      </c>
      <c r="AA175">
        <f>NORMDIST($B$175,0,$B$7,FALSE())*NORMDIST((J61-$B$175)/J18,0,1,TRUE())</f>
        <v>3.1817227151473209E-39</v>
      </c>
      <c r="AB175">
        <f>NORMDIST($B$175,0,$B$7,FALSE())*NORMDIST((K26-$B$175)/K18,0,1,TRUE())</f>
        <v>2.465522543142216E-75</v>
      </c>
      <c r="AC175">
        <f>NORMDIST($B$175,0,$B$7,FALSE())*NORMDIST((K61-$B$175)/K18,0,1,TRUE())</f>
        <v>7.918516592971561E-62</v>
      </c>
      <c r="AD175">
        <f>NORMDIST($B$175,0,$B$7,FALSE())*NORMDIST((L26-$B$175)/L18,0,1,TRUE())</f>
        <v>8.3136281501861165E-109</v>
      </c>
      <c r="AE175">
        <f>NORMDIST($B$175,0,$B$7,FALSE())*NORMDIST((L61-$B$175)/L18,0,1,TRUE())</f>
        <v>3.0457015086698129E-91</v>
      </c>
    </row>
    <row r="176" spans="1:31" ht="15" customHeight="1" x14ac:dyDescent="0.25">
      <c r="B176">
        <f>$B$5+(0.5+24)*$B$151</f>
        <v>6.0879498041449791</v>
      </c>
      <c r="C176">
        <f t="shared" ref="C176:H176" si="144">0.98*C17</f>
        <v>0.98</v>
      </c>
      <c r="D176">
        <f t="shared" si="144"/>
        <v>0.64680000000000004</v>
      </c>
      <c r="E176">
        <f t="shared" si="144"/>
        <v>0.58799999999999997</v>
      </c>
      <c r="F176">
        <f t="shared" si="144"/>
        <v>0.39200000000000002</v>
      </c>
      <c r="G176">
        <f t="shared" si="144"/>
        <v>3.9199999999999999E-2</v>
      </c>
      <c r="H176">
        <f t="shared" si="144"/>
        <v>0.98</v>
      </c>
      <c r="J176">
        <f>0.98*J17</f>
        <v>0.65333333333333332</v>
      </c>
      <c r="K176">
        <f>0.98*K17</f>
        <v>0.49</v>
      </c>
      <c r="L176">
        <f>0.98*L17</f>
        <v>0.39200000000000002</v>
      </c>
      <c r="N176">
        <f>NORMDIST($B$176,0,$B$7,FALSE())*NORMDIST((C26-$B$176)/C18,0,1,TRUE())</f>
        <v>4.4288961421510878E-30</v>
      </c>
      <c r="O176">
        <f>NORMDIST($B$176,0,$B$7,FALSE())*NORMDIST((C61-$B$176)/C18,0,1,TRUE())</f>
        <v>2.7161908565469166E-24</v>
      </c>
      <c r="P176">
        <f>NORMDIST($B$176,0,$B$7,FALSE())*NORMDIST((D26-$B$176)/D18,0,1,TRUE())</f>
        <v>1.2735671907628984E-52</v>
      </c>
      <c r="Q176">
        <f>NORMDIST($B$176,0,$B$7,FALSE())*NORMDIST((D61-$B$176)/D18,0,1,TRUE())</f>
        <v>7.6160551968069652E-43</v>
      </c>
      <c r="R176">
        <f>NORMDIST($B$176,0,$B$7,FALSE())*NORMDIST((E26-$B$176)/E18,0,1,TRUE())</f>
        <v>1.0403568381017784E-60</v>
      </c>
      <c r="S176">
        <f>NORMDIST($B$176,0,$B$7,FALSE())*NORMDIST((E61-$B$176)/E18,0,1,TRUE())</f>
        <v>1.1965495846739862E-49</v>
      </c>
      <c r="T176">
        <f>NORMDIST($B$176,0,$B$7,FALSE())*NORMDIST((F26-$B$176)/F18,0,1,TRUE())</f>
        <v>4.5789230232393941E-117</v>
      </c>
      <c r="U176">
        <f>NORMDIST($B$176,0,$B$7,FALSE())*NORMDIST((F61-$B$176)/F18,0,1,TRUE())</f>
        <v>8.5746679070270614E-99</v>
      </c>
      <c r="V176">
        <f>NORMDIST($B$176,0,$B$7,FALSE())*NORMDIST((G26-$B$176)/G18,0,1,TRUE())</f>
        <v>0</v>
      </c>
      <c r="W176">
        <f>NORMDIST($B$176,0,$B$7,FALSE())*NORMDIST((G61-$B$176)/G18,0,1,TRUE())</f>
        <v>0</v>
      </c>
      <c r="X176">
        <f>NORMDIST($B$176,0,$B$7,FALSE())*NORMDIST((H26-$B$176)/H18,0,1,TRUE())</f>
        <v>4.4288961421510878E-30</v>
      </c>
      <c r="Y176">
        <f>NORMDIST($B$176,0,$B$7,FALSE())*NORMDIST((H61-$B$176)/H18,0,1,TRUE())</f>
        <v>2.7161908565469166E-24</v>
      </c>
      <c r="Z176">
        <f>NORMDIST($B$176,0,$B$7,FALSE())*NORMDIST((J26-$B$176)/J18,0,1,TRUE())</f>
        <v>7.5390380807708354E-52</v>
      </c>
      <c r="AA176">
        <f>NORMDIST($B$176,0,$B$7,FALSE())*NORMDIST((J61-$B$176)/J18,0,1,TRUE())</f>
        <v>3.3744997036917385E-42</v>
      </c>
      <c r="AB176">
        <f>NORMDIST($B$176,0,$B$7,FALSE())*NORMDIST((K26-$B$176)/K18,0,1,TRUE())</f>
        <v>7.7083976110500525E-81</v>
      </c>
      <c r="AC176">
        <f>NORMDIST($B$176,0,$B$7,FALSE())*NORMDIST((K61-$B$176)/K18,0,1,TRUE())</f>
        <v>8.4958470862431973E-67</v>
      </c>
      <c r="AD176">
        <f>NORMDIST($B$176,0,$B$7,FALSE())*NORMDIST((L26-$B$176)/L18,0,1,TRUE())</f>
        <v>4.5789230232393941E-117</v>
      </c>
      <c r="AE176">
        <f>NORMDIST($B$176,0,$B$7,FALSE())*NORMDIST((L61-$B$176)/L18,0,1,TRUE())</f>
        <v>8.5746679070270614E-99</v>
      </c>
    </row>
    <row r="177" spans="2:31" ht="15" customHeight="1" x14ac:dyDescent="0.25">
      <c r="B177">
        <f>$B$5+(0.5+25)*$B$151</f>
        <v>6.254804898191713</v>
      </c>
      <c r="C177">
        <f t="shared" ref="C177:H177" si="145">(C175+C176)/2</f>
        <v>0.49</v>
      </c>
      <c r="D177">
        <f t="shared" si="145"/>
        <v>0.32340000000000002</v>
      </c>
      <c r="E177">
        <f t="shared" si="145"/>
        <v>0.29399999999999998</v>
      </c>
      <c r="F177">
        <f t="shared" si="145"/>
        <v>0.19600000000000001</v>
      </c>
      <c r="G177">
        <f t="shared" si="145"/>
        <v>1.9599999999999999E-2</v>
      </c>
      <c r="H177">
        <f t="shared" si="145"/>
        <v>0.49</v>
      </c>
      <c r="J177">
        <f>(J175+J176)/2</f>
        <v>0.32666666666666666</v>
      </c>
      <c r="K177">
        <f>(K175+K176)/2</f>
        <v>0.245</v>
      </c>
      <c r="L177">
        <f>(L175+L176)/2</f>
        <v>0.19600000000000001</v>
      </c>
      <c r="N177">
        <f>NORMDIST($B$177,0,$B$7,FALSE())*NORMDIST((C26-$B$177)/C18,0,1,TRUE())</f>
        <v>7.140908052567097E-32</v>
      </c>
      <c r="O177">
        <f>NORMDIST($B$177,0,$B$7,FALSE())*NORMDIST((C61-$B$177)/C18,0,1,TRUE())</f>
        <v>6.9465287939231237E-26</v>
      </c>
      <c r="P177">
        <f>NORMDIST($B$177,0,$B$7,FALSE())*NORMDIST((D26-$B$177)/D18,0,1,TRUE())</f>
        <v>3.9668154179352032E-56</v>
      </c>
      <c r="Q177">
        <f>NORMDIST($B$177,0,$B$7,FALSE())*NORMDIST((D61-$B$177)/D18,0,1,TRUE())</f>
        <v>5.4569797583225603E-46</v>
      </c>
      <c r="R177">
        <f>NORMDIST($B$177,0,$B$7,FALSE())*NORMDIST((E26-$B$177)/E18,0,1,TRUE())</f>
        <v>7.6640288243667216E-65</v>
      </c>
      <c r="S177">
        <f>NORMDIST($B$177,0,$B$7,FALSE())*NORMDIST((E61-$B$177)/E18,0,1,TRUE())</f>
        <v>2.286954195309078E-53</v>
      </c>
      <c r="T177">
        <f>NORMDIST($B$177,0,$B$7,FALSE())*NORMDIST((F26-$B$177)/F18,0,1,TRUE())</f>
        <v>1.2369021411688801E-125</v>
      </c>
      <c r="U177">
        <f>NORMDIST($B$177,0,$B$7,FALSE())*NORMDIST((F61-$B$177)/F18,0,1,TRUE())</f>
        <v>1.1843080501395554E-106</v>
      </c>
      <c r="V177">
        <f>NORMDIST($B$177,0,$B$7,FALSE())*NORMDIST((G26-$B$177)/G18,0,1,TRUE())</f>
        <v>0</v>
      </c>
      <c r="W177">
        <f>NORMDIST($B$177,0,$B$7,FALSE())*NORMDIST((G61-$B$177)/G18,0,1,TRUE())</f>
        <v>0</v>
      </c>
      <c r="X177">
        <f>NORMDIST($B$177,0,$B$7,FALSE())*NORMDIST((H26-$B$177)/H18,0,1,TRUE())</f>
        <v>7.140908052567097E-32</v>
      </c>
      <c r="Y177">
        <f>NORMDIST($B$177,0,$B$7,FALSE())*NORMDIST((H61-$B$177)/H18,0,1,TRUE())</f>
        <v>6.9465287939231237E-26</v>
      </c>
      <c r="Z177">
        <f>NORMDIST($B$177,0,$B$7,FALSE())*NORMDIST((J26-$B$177)/J18,0,1,TRUE())</f>
        <v>2.6933906269696242E-55</v>
      </c>
      <c r="AA177">
        <f>NORMDIST($B$177,0,$B$7,FALSE())*NORMDIST((J61-$B$177)/J18,0,1,TRUE())</f>
        <v>2.7408185750854466E-45</v>
      </c>
      <c r="AB177">
        <f>NORMDIST($B$177,0,$B$7,FALSE())*NORMDIST((K26-$B$177)/K18,0,1,TRUE())</f>
        <v>1.5184804460878816E-86</v>
      </c>
      <c r="AC177">
        <f>NORMDIST($B$177,0,$B$7,FALSE())*NORMDIST((K61-$B$177)/K18,0,1,TRUE())</f>
        <v>5.7450220566280131E-72</v>
      </c>
      <c r="AD177">
        <f>NORMDIST($B$177,0,$B$7,FALSE())*NORMDIST((L26-$B$177)/L18,0,1,TRUE())</f>
        <v>1.2369021411688801E-125</v>
      </c>
      <c r="AE177">
        <f>NORMDIST($B$177,0,$B$7,FALSE())*NORMDIST((L61-$B$177)/L18,0,1,TRUE())</f>
        <v>1.1843080501395554E-106</v>
      </c>
    </row>
    <row r="178" spans="2:31" ht="15" customHeight="1" x14ac:dyDescent="0.25">
      <c r="B178">
        <f>$B$5+(0.5+26)*$B$151</f>
        <v>6.421659992238447</v>
      </c>
      <c r="C178">
        <f t="shared" ref="C178:H178" si="146">2*$B$151*SUMPRODUCT(NORMDIST($B$152:$B$181,0,$B$7,FALSE()),NORMDIST(($B$5-C177-$B$152:$B$181)/C18,0,1,TRUE()))</f>
        <v>5.6682337663613268E-3</v>
      </c>
      <c r="D178">
        <f t="shared" si="146"/>
        <v>4.0110609141405934E-3</v>
      </c>
      <c r="E178">
        <f t="shared" si="146"/>
        <v>3.6778317068195273E-3</v>
      </c>
      <c r="F178">
        <f t="shared" si="146"/>
        <v>2.4495663193901556E-3</v>
      </c>
      <c r="G178">
        <f t="shared" si="146"/>
        <v>3.4400488436676797E-9</v>
      </c>
      <c r="H178">
        <f t="shared" si="146"/>
        <v>5.6682337663613268E-3</v>
      </c>
      <c r="J178">
        <f>2*$B$151*SUMPRODUCT(NORMDIST($B$152:$B$181,0,$B$7,FALSE()),NORMDIST(($B$5-J177-$B$152:$B$181)/J18,0,1,TRUE()))</f>
        <v>4.0472294529522819E-3</v>
      </c>
      <c r="K178">
        <f>2*$B$151*SUMPRODUCT(NORMDIST($B$152:$B$181,0,$B$7,FALSE()),NORMDIST(($B$5-K177-$B$152:$B$181)/K18,0,1,TRUE()))</f>
        <v>3.0887619240968765E-3</v>
      </c>
      <c r="L178">
        <f>2*$B$151*SUMPRODUCT(NORMDIST($B$152:$B$181,0,$B$7,FALSE()),NORMDIST(($B$5-L177-$B$152:$B$181)/L18,0,1,TRUE()))</f>
        <v>2.4495663193901556E-3</v>
      </c>
      <c r="N178">
        <f>NORMDIST($B$178,0,$B$7,FALSE())*NORMDIST((C26-$B$178)/C18,0,1,TRUE())</f>
        <v>1.0128506810461036E-33</v>
      </c>
      <c r="O178">
        <f>NORMDIST($B$178,0,$B$7,FALSE())*NORMDIST((C61-$B$178)/C18,0,1,TRUE())</f>
        <v>1.5632893751485747E-27</v>
      </c>
      <c r="P178">
        <f>NORMDIST($B$178,0,$B$7,FALSE())*NORMDIST((D26-$B$178)/D18,0,1,TRUE())</f>
        <v>9.4102883264576703E-60</v>
      </c>
      <c r="Q178">
        <f>NORMDIST($B$178,0,$B$7,FALSE())*NORMDIST((D61-$B$178)/D18,0,1,TRUE())</f>
        <v>2.9788046207938115E-49</v>
      </c>
      <c r="R178">
        <f>NORMDIST($B$178,0,$B$7,FALSE())*NORMDIST((E26-$B$178)/E18,0,1,TRUE())</f>
        <v>4.0754043625054324E-69</v>
      </c>
      <c r="S178">
        <f>NORMDIST($B$178,0,$B$7,FALSE())*NORMDIST((E61-$B$178)/E18,0,1,TRUE())</f>
        <v>3.1560740421307599E-57</v>
      </c>
      <c r="T178">
        <f>NORMDIST($B$178,0,$B$7,FALSE())*NORMDIST((F26-$B$178)/F18,0,1,TRUE())</f>
        <v>1.6385700310799747E-134</v>
      </c>
      <c r="U178">
        <f>NORMDIST($B$178,0,$B$7,FALSE())*NORMDIST((F61-$B$178)/F18,0,1,TRUE())</f>
        <v>8.0237101447193782E-115</v>
      </c>
      <c r="V178">
        <f>NORMDIST($B$178,0,$B$7,FALSE())*NORMDIST((G26-$B$178)/G18,0,1,TRUE())</f>
        <v>0</v>
      </c>
      <c r="W178">
        <f>NORMDIST($B$178,0,$B$7,FALSE())*NORMDIST((G61-$B$178)/G18,0,1,TRUE())</f>
        <v>0</v>
      </c>
      <c r="X178">
        <f>NORMDIST($B$178,0,$B$7,FALSE())*NORMDIST((H26-$B$178)/H18,0,1,TRUE())</f>
        <v>1.0128506810461036E-33</v>
      </c>
      <c r="Y178">
        <f>NORMDIST($B$178,0,$B$7,FALSE())*NORMDIST((H61-$B$178)/H18,0,1,TRUE())</f>
        <v>1.5632893751485747E-27</v>
      </c>
      <c r="Z178">
        <f>NORMDIST($B$178,0,$B$7,FALSE())*NORMDIST((J26-$B$178)/J18,0,1,TRUE())</f>
        <v>7.3659964031691213E-59</v>
      </c>
      <c r="AA178">
        <f>NORMDIST($B$178,0,$B$7,FALSE())*NORMDIST((J61-$B$178)/J18,0,1,TRUE())</f>
        <v>1.7046168196311429E-48</v>
      </c>
      <c r="AB178">
        <f>NORMDIST($B$178,0,$B$7,FALSE())*NORMDIST((K26-$B$178)/K18,0,1,TRUE())</f>
        <v>1.884541407638587E-92</v>
      </c>
      <c r="AC178">
        <f>NORMDIST($B$178,0,$B$7,FALSE())*NORMDIST((K61-$B$178)/K18,0,1,TRUE())</f>
        <v>2.44819742085925E-77</v>
      </c>
      <c r="AD178">
        <f>NORMDIST($B$178,0,$B$7,FALSE())*NORMDIST((L26-$B$178)/L18,0,1,TRUE())</f>
        <v>1.6385700310799747E-134</v>
      </c>
      <c r="AE178">
        <f>NORMDIST($B$178,0,$B$7,FALSE())*NORMDIST((L61-$B$178)/L18,0,1,TRUE())</f>
        <v>8.0237101447193782E-115</v>
      </c>
    </row>
    <row r="179" spans="2:31" ht="15" customHeight="1" x14ac:dyDescent="0.25">
      <c r="B179">
        <f>$B$5+(0.5+27)*$B$151</f>
        <v>6.5885150862851809</v>
      </c>
      <c r="C179">
        <f t="shared" ref="C179:H179" si="147">IF(C178&gt;$B$150,C177,C175)</f>
        <v>0</v>
      </c>
      <c r="D179">
        <f t="shared" si="147"/>
        <v>0</v>
      </c>
      <c r="E179">
        <f t="shared" si="147"/>
        <v>0</v>
      </c>
      <c r="F179">
        <f t="shared" si="147"/>
        <v>0</v>
      </c>
      <c r="G179">
        <f t="shared" si="147"/>
        <v>0</v>
      </c>
      <c r="H179">
        <f t="shared" si="147"/>
        <v>0</v>
      </c>
      <c r="J179">
        <f>IF(J178&gt;$B$150,J177,J175)</f>
        <v>0</v>
      </c>
      <c r="K179">
        <f>IF(K178&gt;$B$150,K177,K175)</f>
        <v>0</v>
      </c>
      <c r="L179">
        <f>IF(L178&gt;$B$150,L177,L175)</f>
        <v>0</v>
      </c>
      <c r="N179">
        <f>NORMDIST($B$179,0,$B$7,FALSE())*NORMDIST((C26-$B$179)/C18,0,1,TRUE())</f>
        <v>1.2637092244915709E-35</v>
      </c>
      <c r="O179">
        <f>NORMDIST($B$179,0,$B$7,FALSE())*NORMDIST((C61-$B$179)/C18,0,1,TRUE())</f>
        <v>3.0955579432544749E-29</v>
      </c>
      <c r="P179">
        <f>NORMDIST($B$179,0,$B$7,FALSE())*NORMDIST((D26-$B$179)/D18,0,1,TRUE())</f>
        <v>1.7000969196699026E-63</v>
      </c>
      <c r="Q179">
        <f>NORMDIST($B$179,0,$B$7,FALSE())*NORMDIST((D61-$B$179)/D18,0,1,TRUE())</f>
        <v>1.2386703641123669E-52</v>
      </c>
      <c r="R179">
        <f>NORMDIST($B$179,0,$B$7,FALSE())*NORMDIST((E26-$B$179)/E18,0,1,TRUE())</f>
        <v>1.5641942611736431E-73</v>
      </c>
      <c r="S179">
        <f>NORMDIST($B$179,0,$B$7,FALSE())*NORMDIST((E61-$B$179)/E18,0,1,TRUE())</f>
        <v>3.144525928442461E-61</v>
      </c>
      <c r="T179">
        <f>NORMDIST($B$179,0,$B$7,FALSE())*NORMDIST((F26-$B$179)/F18,0,1,TRUE())</f>
        <v>1.0644247167964897E-143</v>
      </c>
      <c r="U179">
        <f>NORMDIST($B$179,0,$B$7,FALSE())*NORMDIST((F61-$B$179)/F18,0,1,TRUE())</f>
        <v>2.6662487511469421E-123</v>
      </c>
      <c r="V179">
        <f>NORMDIST($B$179,0,$B$7,FALSE())*NORMDIST((G26-$B$179)/G18,0,1,TRUE())</f>
        <v>0</v>
      </c>
      <c r="W179">
        <f>NORMDIST($B$179,0,$B$7,FALSE())*NORMDIST((G61-$B$179)/G18,0,1,TRUE())</f>
        <v>0</v>
      </c>
      <c r="X179">
        <f>NORMDIST($B$179,0,$B$7,FALSE())*NORMDIST((H26-$B$179)/H18,0,1,TRUE())</f>
        <v>1.2637092244915709E-35</v>
      </c>
      <c r="Y179">
        <f>NORMDIST($B$179,0,$B$7,FALSE())*NORMDIST((H61-$B$179)/H18,0,1,TRUE())</f>
        <v>3.0955579432544749E-29</v>
      </c>
      <c r="Z179">
        <f>NORMDIST($B$179,0,$B$7,FALSE())*NORMDIST((J26-$B$179)/J18,0,1,TRUE())</f>
        <v>1.5419900275561063E-62</v>
      </c>
      <c r="AA179">
        <f>NORMDIST($B$179,0,$B$7,FALSE())*NORMDIST((J61-$B$179)/J18,0,1,TRUE())</f>
        <v>8.1171882484500832E-52</v>
      </c>
      <c r="AB179">
        <f>NORMDIST($B$179,0,$B$7,FALSE())*NORMDIST((K26-$B$179)/K18,0,1,TRUE())</f>
        <v>1.4733935290583373E-98</v>
      </c>
      <c r="AC179">
        <f>NORMDIST($B$179,0,$B$7,FALSE())*NORMDIST((K61-$B$179)/K18,0,1,TRUE())</f>
        <v>6.5739153901711333E-83</v>
      </c>
      <c r="AD179">
        <f>NORMDIST($B$179,0,$B$7,FALSE())*NORMDIST((L26-$B$179)/L18,0,1,TRUE())</f>
        <v>1.0644247167964897E-143</v>
      </c>
      <c r="AE179">
        <f>NORMDIST($B$179,0,$B$7,FALSE())*NORMDIST((L61-$B$179)/L18,0,1,TRUE())</f>
        <v>2.6662487511469421E-123</v>
      </c>
    </row>
    <row r="180" spans="2:31" ht="15" customHeight="1" x14ac:dyDescent="0.25">
      <c r="B180">
        <f>$B$5+(0.5+28)*$B$151</f>
        <v>6.7553701803319148</v>
      </c>
      <c r="C180">
        <f t="shared" ref="C180:H180" si="148">IF(C178&gt;$B$150,C176,C177)</f>
        <v>0.49</v>
      </c>
      <c r="D180">
        <f t="shared" si="148"/>
        <v>0.32340000000000002</v>
      </c>
      <c r="E180">
        <f t="shared" si="148"/>
        <v>0.29399999999999998</v>
      </c>
      <c r="F180">
        <f t="shared" si="148"/>
        <v>0.19600000000000001</v>
      </c>
      <c r="G180">
        <f t="shared" si="148"/>
        <v>1.9599999999999999E-2</v>
      </c>
      <c r="H180">
        <f t="shared" si="148"/>
        <v>0.49</v>
      </c>
      <c r="J180">
        <f>IF(J178&gt;$B$150,J176,J177)</f>
        <v>0.32666666666666666</v>
      </c>
      <c r="K180">
        <f>IF(K178&gt;$B$150,K176,K177)</f>
        <v>0.245</v>
      </c>
      <c r="L180">
        <f>IF(L178&gt;$B$150,L176,L177)</f>
        <v>0.19600000000000001</v>
      </c>
      <c r="N180">
        <f>NORMDIST($B$180,0,$B$7,FALSE())*NORMDIST((C26-$B$180)/C18,0,1,TRUE())</f>
        <v>1.38687196181245E-37</v>
      </c>
      <c r="O180">
        <f>NORMDIST($B$180,0,$B$7,FALSE())*NORMDIST((C61-$B$180)/C18,0,1,TRUE())</f>
        <v>5.3930435940208645E-31</v>
      </c>
      <c r="P180">
        <f>NORMDIST($B$180,0,$B$7,FALSE())*NORMDIST((D26-$B$180)/D18,0,1,TRUE())</f>
        <v>2.3389776763442076E-67</v>
      </c>
      <c r="Q180">
        <f>NORMDIST($B$180,0,$B$7,FALSE())*NORMDIST((D61-$B$180)/D18,0,1,TRUE())</f>
        <v>3.9233273054047681E-56</v>
      </c>
      <c r="R180">
        <f>NORMDIST($B$180,0,$B$7,FALSE())*NORMDIST((E26-$B$180)/E18,0,1,TRUE())</f>
        <v>4.3329902222647148E-78</v>
      </c>
      <c r="S180">
        <f>NORMDIST($B$180,0,$B$7,FALSE())*NORMDIST((E61-$B$180)/E18,0,1,TRUE())</f>
        <v>2.2617330812541301E-65</v>
      </c>
      <c r="T180">
        <f>NORMDIST($B$180,0,$B$7,FALSE())*NORMDIST((F26-$B$180)/F18,0,1,TRUE())</f>
        <v>3.39040383133003E-153</v>
      </c>
      <c r="U180">
        <f>NORMDIST($B$180,0,$B$7,FALSE())*NORMDIST((F61-$B$180)/F18,0,1,TRUE())</f>
        <v>4.3450800898204506E-132</v>
      </c>
      <c r="V180">
        <f>NORMDIST($B$180,0,$B$7,FALSE())*NORMDIST((G26-$B$180)/G18,0,1,TRUE())</f>
        <v>0</v>
      </c>
      <c r="W180">
        <f>NORMDIST($B$180,0,$B$7,FALSE())*NORMDIST((G61-$B$180)/G18,0,1,TRUE())</f>
        <v>0</v>
      </c>
      <c r="X180">
        <f>NORMDIST($B$180,0,$B$7,FALSE())*NORMDIST((H26-$B$180)/H18,0,1,TRUE())</f>
        <v>1.38687196181245E-37</v>
      </c>
      <c r="Y180">
        <f>NORMDIST($B$180,0,$B$7,FALSE())*NORMDIST((H61-$B$180)/H18,0,1,TRUE())</f>
        <v>5.3930435940208645E-31</v>
      </c>
      <c r="Z180">
        <f>NORMDIST($B$180,0,$B$7,FALSE())*NORMDIST((J26-$B$180)/J18,0,1,TRUE())</f>
        <v>2.4707084233830103E-66</v>
      </c>
      <c r="AA180">
        <f>NORMDIST($B$180,0,$B$7,FALSE())*NORMDIST((J61-$B$180)/J18,0,1,TRUE())</f>
        <v>2.9592249084681707E-55</v>
      </c>
      <c r="AB180">
        <f>NORMDIST($B$180,0,$B$7,FALSE())*NORMDIST((K26-$B$180)/K18,0,1,TRUE())</f>
        <v>7.2563286444235954E-105</v>
      </c>
      <c r="AC180">
        <f>NORMDIST($B$180,0,$B$7,FALSE())*NORMDIST((K61-$B$180)/K18,0,1,TRUE())</f>
        <v>1.1121997933506428E-88</v>
      </c>
      <c r="AD180">
        <f>NORMDIST($B$180,0,$B$7,FALSE())*NORMDIST((L26-$B$180)/L18,0,1,TRUE())</f>
        <v>3.39040383133003E-153</v>
      </c>
      <c r="AE180">
        <f>NORMDIST($B$180,0,$B$7,FALSE())*NORMDIST((L61-$B$180)/L18,0,1,TRUE())</f>
        <v>4.3450800898204506E-132</v>
      </c>
    </row>
    <row r="181" spans="2:31" ht="15" customHeight="1" x14ac:dyDescent="0.25">
      <c r="B181">
        <f>$B$5+(0.5+29)*$B$151</f>
        <v>6.9222252743786488</v>
      </c>
      <c r="C181">
        <f t="shared" ref="C181:H181" si="149">(C179+C180)/2</f>
        <v>0.245</v>
      </c>
      <c r="D181">
        <f t="shared" si="149"/>
        <v>0.16170000000000001</v>
      </c>
      <c r="E181">
        <f t="shared" si="149"/>
        <v>0.14699999999999999</v>
      </c>
      <c r="F181">
        <f t="shared" si="149"/>
        <v>9.8000000000000004E-2</v>
      </c>
      <c r="G181">
        <f t="shared" si="149"/>
        <v>9.7999999999999997E-3</v>
      </c>
      <c r="H181">
        <f t="shared" si="149"/>
        <v>0.245</v>
      </c>
      <c r="J181">
        <f>(J179+J180)/2</f>
        <v>0.16333333333333333</v>
      </c>
      <c r="K181">
        <f>(K179+K180)/2</f>
        <v>0.1225</v>
      </c>
      <c r="L181">
        <f>(L179+L180)/2</f>
        <v>9.8000000000000004E-2</v>
      </c>
      <c r="N181">
        <f>NORMDIST($B$181,0,$B$7,FALSE())*NORMDIST((C26-$B$181)/C18,0,1,TRUE())</f>
        <v>1.3387287919903E-39</v>
      </c>
      <c r="O181">
        <f>NORMDIST($B$181,0,$B$7,FALSE())*NORMDIST((C61-$B$181)/C18,0,1,TRUE())</f>
        <v>8.2659870935570897E-33</v>
      </c>
      <c r="P181">
        <f>NORMDIST($B$181,0,$B$7,FALSE())*NORMDIST((D26-$B$181)/D18,0,1,TRUE())</f>
        <v>2.4503856995202204E-71</v>
      </c>
      <c r="Q181">
        <f>NORMDIST($B$181,0,$B$7,FALSE())*NORMDIST((D61-$B$181)/D18,0,1,TRUE())</f>
        <v>9.4646209703210436E-60</v>
      </c>
      <c r="R181">
        <f>NORMDIST($B$181,0,$B$7,FALSE())*NORMDIST((E26-$B$181)/E18,0,1,TRUE())</f>
        <v>8.662336379210454E-83</v>
      </c>
      <c r="S181">
        <f>NORMDIST($B$181,0,$B$7,FALSE())*NORMDIST((E61-$B$181)/E18,0,1,TRUE())</f>
        <v>1.174274296782758E-69</v>
      </c>
      <c r="T181">
        <f>NORMDIST($B$181,0,$B$7,FALSE())*NORMDIST((F26-$B$181)/F18,0,1,TRUE())</f>
        <v>5.2947309471004166E-163</v>
      </c>
      <c r="U181">
        <f>NORMDIST($B$181,0,$B$7,FALSE())*NORMDIST((F61-$B$181)/F18,0,1,TRUE())</f>
        <v>3.4723844705564214E-141</v>
      </c>
      <c r="V181">
        <f>NORMDIST($B$181,0,$B$7,FALSE())*NORMDIST((G26-$B$181)/G18,0,1,TRUE())</f>
        <v>0</v>
      </c>
      <c r="W181">
        <f>NORMDIST($B$181,0,$B$7,FALSE())*NORMDIST((G61-$B$181)/G18,0,1,TRUE())</f>
        <v>0</v>
      </c>
      <c r="X181">
        <f>NORMDIST($B$181,0,$B$7,FALSE())*NORMDIST((H26-$B$181)/H18,0,1,TRUE())</f>
        <v>1.3387287919903E-39</v>
      </c>
      <c r="Y181">
        <f>NORMDIST($B$181,0,$B$7,FALSE())*NORMDIST((H61-$B$181)/H18,0,1,TRUE())</f>
        <v>8.2659870935570897E-33</v>
      </c>
      <c r="Z181">
        <f>NORMDIST($B$181,0,$B$7,FALSE())*NORMDIST((J26-$B$181)/J18,0,1,TRUE())</f>
        <v>3.0298821704981977E-70</v>
      </c>
      <c r="AA181">
        <f>NORMDIST($B$181,0,$B$7,FALSE())*NORMDIST((J61-$B$181)/J18,0,1,TRUE())</f>
        <v>8.2586444873852866E-59</v>
      </c>
      <c r="AB181">
        <f>NORMDIST($B$181,0,$B$7,FALSE())*NORMDIST((K26-$B$181)/K18,0,1,TRUE())</f>
        <v>2.2509801522321443E-111</v>
      </c>
      <c r="AC181">
        <f>NORMDIST($B$181,0,$B$7,FALSE())*NORMDIST((K61-$B$181)/K18,0,1,TRUE())</f>
        <v>1.1854543755678442E-94</v>
      </c>
      <c r="AD181">
        <f>NORMDIST($B$181,0,$B$7,FALSE())*NORMDIST((L26-$B$181)/L18,0,1,TRUE())</f>
        <v>5.2947309471004166E-163</v>
      </c>
      <c r="AE181">
        <f>NORMDIST($B$181,0,$B$7,FALSE())*NORMDIST((L61-$B$181)/L18,0,1,TRUE())</f>
        <v>3.4723844705564214E-141</v>
      </c>
    </row>
    <row r="182" spans="2:31" ht="15" customHeight="1" x14ac:dyDescent="0.25">
      <c r="C182">
        <f t="shared" ref="C182:H182" si="150">2*$B$151*SUMPRODUCT(NORMDIST($B$152:$B$181,0,$B$7,FALSE()),NORMDIST(($B$5-C181-$B$152:$B$181)/C18,0,1,TRUE()))</f>
        <v>1.2659611855035374E-2</v>
      </c>
      <c r="D182">
        <f t="shared" si="150"/>
        <v>9.1610177789718042E-3</v>
      </c>
      <c r="E182">
        <f t="shared" si="150"/>
        <v>8.4467369351605009E-3</v>
      </c>
      <c r="F182">
        <f t="shared" si="150"/>
        <v>5.7954443893136823E-3</v>
      </c>
      <c r="G182">
        <f t="shared" si="150"/>
        <v>4.1786636146444498E-8</v>
      </c>
      <c r="H182">
        <f t="shared" si="150"/>
        <v>1.2659611855035374E-2</v>
      </c>
      <c r="J182">
        <f>2*$B$151*SUMPRODUCT(NORMDIST($B$152:$B$181,0,$B$7,FALSE()),NORMDIST(($B$5-J181-$B$152:$B$181)/J18,0,1,TRUE()))</f>
        <v>9.2383646675087815E-3</v>
      </c>
      <c r="K182">
        <f>2*$B$151*SUMPRODUCT(NORMDIST($B$152:$B$181,0,$B$7,FALSE()),NORMDIST(($B$5-K181-$B$152:$B$181)/K18,0,1,TRUE()))</f>
        <v>7.1778766064513645E-3</v>
      </c>
      <c r="L182">
        <f>2*$B$151*SUMPRODUCT(NORMDIST($B$152:$B$181,0,$B$7,FALSE()),NORMDIST(($B$5-L181-$B$152:$B$181)/L18,0,1,TRUE()))</f>
        <v>5.7954443893136823E-3</v>
      </c>
    </row>
    <row r="183" spans="2:31" ht="15" customHeight="1" x14ac:dyDescent="0.25">
      <c r="C183">
        <f t="shared" ref="C183:H183" si="151">IF(C182&gt;$B$150,C181,C179)</f>
        <v>0</v>
      </c>
      <c r="D183">
        <f t="shared" si="151"/>
        <v>0</v>
      </c>
      <c r="E183">
        <f t="shared" si="151"/>
        <v>0</v>
      </c>
      <c r="F183">
        <f t="shared" si="151"/>
        <v>0</v>
      </c>
      <c r="G183">
        <f t="shared" si="151"/>
        <v>0</v>
      </c>
      <c r="H183">
        <f t="shared" si="151"/>
        <v>0</v>
      </c>
      <c r="J183">
        <f>IF(J182&gt;$B$150,J181,J179)</f>
        <v>0</v>
      </c>
      <c r="K183">
        <f>IF(K182&gt;$B$150,K181,K179)</f>
        <v>0</v>
      </c>
      <c r="L183">
        <f>IF(L182&gt;$B$150,L181,L179)</f>
        <v>0</v>
      </c>
    </row>
    <row r="184" spans="2:31" ht="15" customHeight="1" x14ac:dyDescent="0.25">
      <c r="C184">
        <f t="shared" ref="C184:H184" si="152">IF(C182&gt;$B$150,C180,C181)</f>
        <v>0.245</v>
      </c>
      <c r="D184">
        <f t="shared" si="152"/>
        <v>0.16170000000000001</v>
      </c>
      <c r="E184">
        <f t="shared" si="152"/>
        <v>0.14699999999999999</v>
      </c>
      <c r="F184">
        <f t="shared" si="152"/>
        <v>9.8000000000000004E-2</v>
      </c>
      <c r="G184">
        <f t="shared" si="152"/>
        <v>9.7999999999999997E-3</v>
      </c>
      <c r="H184">
        <f t="shared" si="152"/>
        <v>0.245</v>
      </c>
      <c r="J184">
        <f>IF(J182&gt;$B$150,J180,J181)</f>
        <v>0.16333333333333333</v>
      </c>
      <c r="K184">
        <f>IF(K182&gt;$B$150,K180,K181)</f>
        <v>0.1225</v>
      </c>
      <c r="L184">
        <f>IF(L182&gt;$B$150,L180,L181)</f>
        <v>9.8000000000000004E-2</v>
      </c>
    </row>
    <row r="185" spans="2:31" ht="15" customHeight="1" x14ac:dyDescent="0.25">
      <c r="C185">
        <f t="shared" ref="C185:H185" si="153">(C183+C184)/2</f>
        <v>0.1225</v>
      </c>
      <c r="D185">
        <f t="shared" si="153"/>
        <v>8.0850000000000005E-2</v>
      </c>
      <c r="E185">
        <f t="shared" si="153"/>
        <v>7.3499999999999996E-2</v>
      </c>
      <c r="F185">
        <f t="shared" si="153"/>
        <v>4.9000000000000002E-2</v>
      </c>
      <c r="G185">
        <f t="shared" si="153"/>
        <v>4.8999999999999998E-3</v>
      </c>
      <c r="H185">
        <f t="shared" si="153"/>
        <v>0.1225</v>
      </c>
      <c r="J185">
        <f>(J183+J184)/2</f>
        <v>8.1666666666666665E-2</v>
      </c>
      <c r="K185">
        <f>(K183+K184)/2</f>
        <v>6.1249999999999999E-2</v>
      </c>
      <c r="L185">
        <f>(L183+L184)/2</f>
        <v>4.9000000000000002E-2</v>
      </c>
    </row>
    <row r="186" spans="2:31" ht="15" customHeight="1" x14ac:dyDescent="0.25">
      <c r="C186">
        <f t="shared" ref="C186:H186" si="154">2*$B$151*SUMPRODUCT(NORMDIST($B$152:$B$181,0,$B$7,FALSE()),NORMDIST(($B$5-C185-$B$152:$B$181)/C18,0,1,TRUE()))</f>
        <v>1.7741393476582625E-2</v>
      </c>
      <c r="D186">
        <f t="shared" si="154"/>
        <v>1.2987482353927693E-2</v>
      </c>
      <c r="E186">
        <f t="shared" si="154"/>
        <v>1.2007308212376819E-2</v>
      </c>
      <c r="F186">
        <f t="shared" si="154"/>
        <v>8.3505240225904796E-3</v>
      </c>
      <c r="G186">
        <f t="shared" si="154"/>
        <v>1.3352664156395027E-7</v>
      </c>
      <c r="H186">
        <f t="shared" si="154"/>
        <v>1.7741393476582625E-2</v>
      </c>
      <c r="J186">
        <f>2*$B$151*SUMPRODUCT(NORMDIST($B$152:$B$181,0,$B$7,FALSE()),NORMDIST(($B$5-J185-$B$152:$B$181)/J18,0,1,TRUE()))</f>
        <v>1.3093454215999781E-2</v>
      </c>
      <c r="K186">
        <f>2*$B$151*SUMPRODUCT(NORMDIST($B$152:$B$181,0,$B$7,FALSE()),NORMDIST(($B$5-K185-$B$152:$B$181)/K18,0,1,TRUE()))</f>
        <v>1.0260119366742119E-2</v>
      </c>
      <c r="L186">
        <f>2*$B$151*SUMPRODUCT(NORMDIST($B$152:$B$181,0,$B$7,FALSE()),NORMDIST(($B$5-L185-$B$152:$B$181)/L18,0,1,TRUE()))</f>
        <v>8.3505240225904796E-3</v>
      </c>
    </row>
    <row r="187" spans="2:31" ht="15" customHeight="1" x14ac:dyDescent="0.25">
      <c r="C187">
        <f t="shared" ref="C187:H187" si="155">IF(C186&gt;$B$150,C185,C183)</f>
        <v>0</v>
      </c>
      <c r="D187">
        <f t="shared" si="155"/>
        <v>0</v>
      </c>
      <c r="E187">
        <f t="shared" si="155"/>
        <v>0</v>
      </c>
      <c r="F187">
        <f t="shared" si="155"/>
        <v>0</v>
      </c>
      <c r="G187">
        <f t="shared" si="155"/>
        <v>0</v>
      </c>
      <c r="H187">
        <f t="shared" si="155"/>
        <v>0</v>
      </c>
      <c r="J187">
        <f>IF(J186&gt;$B$150,J185,J183)</f>
        <v>0</v>
      </c>
      <c r="K187">
        <f>IF(K186&gt;$B$150,K185,K183)</f>
        <v>0</v>
      </c>
      <c r="L187">
        <f>IF(L186&gt;$B$150,L185,L183)</f>
        <v>0</v>
      </c>
    </row>
    <row r="188" spans="2:31" ht="15" customHeight="1" x14ac:dyDescent="0.25">
      <c r="C188">
        <f t="shared" ref="C188:H188" si="156">IF(C186&gt;$B$150,C184,C185)</f>
        <v>0.1225</v>
      </c>
      <c r="D188">
        <f t="shared" si="156"/>
        <v>8.0850000000000005E-2</v>
      </c>
      <c r="E188">
        <f t="shared" si="156"/>
        <v>7.3499999999999996E-2</v>
      </c>
      <c r="F188">
        <f t="shared" si="156"/>
        <v>4.9000000000000002E-2</v>
      </c>
      <c r="G188">
        <f t="shared" si="156"/>
        <v>4.8999999999999998E-3</v>
      </c>
      <c r="H188">
        <f t="shared" si="156"/>
        <v>0.1225</v>
      </c>
      <c r="J188">
        <f>IF(J186&gt;$B$150,J184,J185)</f>
        <v>8.1666666666666665E-2</v>
      </c>
      <c r="K188">
        <f>IF(K186&gt;$B$150,K184,K185)</f>
        <v>6.1249999999999999E-2</v>
      </c>
      <c r="L188">
        <f>IF(L186&gt;$B$150,L184,L185)</f>
        <v>4.9000000000000002E-2</v>
      </c>
    </row>
    <row r="189" spans="2:31" ht="15" customHeight="1" x14ac:dyDescent="0.25">
      <c r="C189">
        <f t="shared" ref="C189:H189" si="157">(C187+C188)/2</f>
        <v>6.1249999999999999E-2</v>
      </c>
      <c r="D189">
        <f t="shared" si="157"/>
        <v>4.0425000000000003E-2</v>
      </c>
      <c r="E189">
        <f t="shared" si="157"/>
        <v>3.6749999999999998E-2</v>
      </c>
      <c r="F189">
        <f t="shared" si="157"/>
        <v>2.4500000000000001E-2</v>
      </c>
      <c r="G189">
        <f t="shared" si="157"/>
        <v>2.4499999999999999E-3</v>
      </c>
      <c r="H189">
        <f t="shared" si="157"/>
        <v>6.1249999999999999E-2</v>
      </c>
      <c r="J189">
        <f>(J187+J188)/2</f>
        <v>4.0833333333333333E-2</v>
      </c>
      <c r="K189">
        <f>(K187+K188)/2</f>
        <v>3.0624999999999999E-2</v>
      </c>
      <c r="L189">
        <f>(L187+L188)/2</f>
        <v>2.4500000000000001E-2</v>
      </c>
    </row>
    <row r="190" spans="2:31" ht="15" customHeight="1" x14ac:dyDescent="0.25">
      <c r="C190">
        <f t="shared" ref="C190:H190" si="158">2*$B$151*SUMPRODUCT(NORMDIST($B$152:$B$181,0,$B$7,FALSE()),NORMDIST(($B$5-C189-$B$152:$B$181)/C18,0,1,TRUE()))</f>
        <v>2.0686230854206938E-2</v>
      </c>
      <c r="D190">
        <f t="shared" si="158"/>
        <v>1.5232887269203325E-2</v>
      </c>
      <c r="E190">
        <f t="shared" si="158"/>
        <v>1.4102217406220549E-2</v>
      </c>
      <c r="F190">
        <f t="shared" si="158"/>
        <v>9.8711103033715733E-3</v>
      </c>
      <c r="G190">
        <f t="shared" si="158"/>
        <v>2.3358392653129827E-7</v>
      </c>
      <c r="H190">
        <f t="shared" si="158"/>
        <v>2.0686230854206938E-2</v>
      </c>
      <c r="J190">
        <f>2*$B$151*SUMPRODUCT(NORMDIST($B$152:$B$181,0,$B$7,FALSE()),NORMDIST(($B$5-J189-$B$152:$B$181)/J18,0,1,TRUE()))</f>
        <v>1.5355018528957492E-2</v>
      </c>
      <c r="K190">
        <f>2*$B$151*SUMPRODUCT(NORMDIST($B$152:$B$181,0,$B$7,FALSE()),NORMDIST(($B$5-K189-$B$152:$B$181)/K18,0,1,TRUE()))</f>
        <v>1.2082692243468328E-2</v>
      </c>
      <c r="L190">
        <f>2*$B$151*SUMPRODUCT(NORMDIST($B$152:$B$181,0,$B$7,FALSE()),NORMDIST(($B$5-L189-$B$152:$B$181)/L18,0,1,TRUE()))</f>
        <v>9.8711103033715733E-3</v>
      </c>
    </row>
    <row r="191" spans="2:31" ht="15" customHeight="1" x14ac:dyDescent="0.25">
      <c r="C191">
        <f t="shared" ref="C191:H191" si="159">IF(C190&gt;$B$150,C189,C187)</f>
        <v>6.1249999999999999E-2</v>
      </c>
      <c r="D191">
        <f t="shared" si="159"/>
        <v>0</v>
      </c>
      <c r="E191">
        <f t="shared" si="159"/>
        <v>0</v>
      </c>
      <c r="F191">
        <f t="shared" si="159"/>
        <v>0</v>
      </c>
      <c r="G191">
        <f t="shared" si="159"/>
        <v>0</v>
      </c>
      <c r="H191">
        <f t="shared" si="159"/>
        <v>6.1249999999999999E-2</v>
      </c>
      <c r="J191">
        <f>IF(J190&gt;$B$150,J189,J187)</f>
        <v>0</v>
      </c>
      <c r="K191">
        <f>IF(K190&gt;$B$150,K189,K187)</f>
        <v>0</v>
      </c>
      <c r="L191">
        <f>IF(L190&gt;$B$150,L189,L187)</f>
        <v>0</v>
      </c>
    </row>
    <row r="192" spans="2:31" ht="15" customHeight="1" x14ac:dyDescent="0.25">
      <c r="C192">
        <f t="shared" ref="C192:H192" si="160">IF(C190&gt;$B$150,C188,C189)</f>
        <v>0.1225</v>
      </c>
      <c r="D192">
        <f t="shared" si="160"/>
        <v>4.0425000000000003E-2</v>
      </c>
      <c r="E192">
        <f t="shared" si="160"/>
        <v>3.6749999999999998E-2</v>
      </c>
      <c r="F192">
        <f t="shared" si="160"/>
        <v>2.4500000000000001E-2</v>
      </c>
      <c r="G192">
        <f t="shared" si="160"/>
        <v>2.4499999999999999E-3</v>
      </c>
      <c r="H192">
        <f t="shared" si="160"/>
        <v>0.1225</v>
      </c>
      <c r="J192">
        <f>IF(J190&gt;$B$150,J188,J189)</f>
        <v>4.0833333333333333E-2</v>
      </c>
      <c r="K192">
        <f>IF(K190&gt;$B$150,K188,K189)</f>
        <v>3.0624999999999999E-2</v>
      </c>
      <c r="L192">
        <f>IF(L190&gt;$B$150,L188,L189)</f>
        <v>2.4500000000000001E-2</v>
      </c>
    </row>
    <row r="193" spans="3:12" ht="15" customHeight="1" x14ac:dyDescent="0.25">
      <c r="C193">
        <f t="shared" ref="C193:H193" si="161">(C191+C192)/2</f>
        <v>9.1874999999999998E-2</v>
      </c>
      <c r="D193">
        <f t="shared" si="161"/>
        <v>2.0212500000000001E-2</v>
      </c>
      <c r="E193">
        <f t="shared" si="161"/>
        <v>1.8374999999999999E-2</v>
      </c>
      <c r="F193">
        <f t="shared" si="161"/>
        <v>1.225E-2</v>
      </c>
      <c r="G193">
        <f t="shared" si="161"/>
        <v>1.225E-3</v>
      </c>
      <c r="H193">
        <f t="shared" si="161"/>
        <v>9.1874999999999998E-2</v>
      </c>
      <c r="J193">
        <f>(J191+J192)/2</f>
        <v>2.0416666666666666E-2</v>
      </c>
      <c r="K193">
        <f>(K191+K192)/2</f>
        <v>1.53125E-2</v>
      </c>
      <c r="L193">
        <f>(L191+L192)/2</f>
        <v>1.225E-2</v>
      </c>
    </row>
    <row r="194" spans="3:12" ht="15" customHeight="1" x14ac:dyDescent="0.25">
      <c r="C194">
        <f t="shared" ref="C194:H194" si="162">2*$B$151*SUMPRODUCT(NORMDIST($B$152:$B$181,0,$B$7,FALSE()),NORMDIST(($B$5-C193-$B$152:$B$181)/C18,0,1,TRUE()))</f>
        <v>1.9180994297161913E-2</v>
      </c>
      <c r="D194">
        <f t="shared" si="162"/>
        <v>1.6437402374535781E-2</v>
      </c>
      <c r="E194">
        <f t="shared" si="162"/>
        <v>1.5227562731905552E-2</v>
      </c>
      <c r="F194">
        <f t="shared" si="162"/>
        <v>1.0692669788914788E-2</v>
      </c>
      <c r="G194">
        <f t="shared" si="162"/>
        <v>3.0728260831880999E-7</v>
      </c>
      <c r="H194">
        <f t="shared" si="162"/>
        <v>1.9180994297161913E-2</v>
      </c>
      <c r="J194">
        <f>2*$B$151*SUMPRODUCT(NORMDIST($B$152:$B$181,0,$B$7,FALSE()),NORMDIST(($B$5-J193-$B$152:$B$181)/J18,0,1,TRUE()))</f>
        <v>1.656802139660064E-2</v>
      </c>
      <c r="K194">
        <f>2*$B$151*SUMPRODUCT(NORMDIST($B$152:$B$181,0,$B$7,FALSE()),NORMDIST(($B$5-K193-$B$152:$B$181)/K18,0,1,TRUE()))</f>
        <v>1.3064270787196653E-2</v>
      </c>
      <c r="L194">
        <f>2*$B$151*SUMPRODUCT(NORMDIST($B$152:$B$181,0,$B$7,FALSE()),NORMDIST(($B$5-L193-$B$152:$B$181)/L18,0,1,TRUE()))</f>
        <v>1.0692669788914788E-2</v>
      </c>
    </row>
    <row r="195" spans="3:12" ht="15" customHeight="1" x14ac:dyDescent="0.25">
      <c r="C195">
        <f t="shared" ref="C195:H195" si="163">IF(C194&gt;$B$150,C193,C191)</f>
        <v>6.1249999999999999E-2</v>
      </c>
      <c r="D195">
        <f t="shared" si="163"/>
        <v>0</v>
      </c>
      <c r="E195">
        <f t="shared" si="163"/>
        <v>0</v>
      </c>
      <c r="F195">
        <f t="shared" si="163"/>
        <v>0</v>
      </c>
      <c r="G195">
        <f t="shared" si="163"/>
        <v>0</v>
      </c>
      <c r="H195">
        <f t="shared" si="163"/>
        <v>6.1249999999999999E-2</v>
      </c>
      <c r="J195">
        <f>IF(J194&gt;$B$150,J193,J191)</f>
        <v>0</v>
      </c>
      <c r="K195">
        <f>IF(K194&gt;$B$150,K193,K191)</f>
        <v>0</v>
      </c>
      <c r="L195">
        <f>IF(L194&gt;$B$150,L193,L191)</f>
        <v>0</v>
      </c>
    </row>
    <row r="196" spans="3:12" ht="15" customHeight="1" x14ac:dyDescent="0.25">
      <c r="C196">
        <f t="shared" ref="C196:H196" si="164">IF(C194&gt;$B$150,C192,C193)</f>
        <v>9.1874999999999998E-2</v>
      </c>
      <c r="D196">
        <f t="shared" si="164"/>
        <v>2.0212500000000001E-2</v>
      </c>
      <c r="E196">
        <f t="shared" si="164"/>
        <v>1.8374999999999999E-2</v>
      </c>
      <c r="F196">
        <f t="shared" si="164"/>
        <v>1.225E-2</v>
      </c>
      <c r="G196">
        <f t="shared" si="164"/>
        <v>1.225E-3</v>
      </c>
      <c r="H196">
        <f t="shared" si="164"/>
        <v>9.1874999999999998E-2</v>
      </c>
      <c r="J196">
        <f>IF(J194&gt;$B$150,J192,J193)</f>
        <v>2.0416666666666666E-2</v>
      </c>
      <c r="K196">
        <f>IF(K194&gt;$B$150,K192,K193)</f>
        <v>1.53125E-2</v>
      </c>
      <c r="L196">
        <f>IF(L194&gt;$B$150,L192,L193)</f>
        <v>1.225E-2</v>
      </c>
    </row>
    <row r="197" spans="3:12" ht="15" customHeight="1" x14ac:dyDescent="0.25">
      <c r="C197">
        <f t="shared" ref="C197:H197" si="165">(C195+C196)/2</f>
        <v>7.6562500000000006E-2</v>
      </c>
      <c r="D197">
        <f t="shared" si="165"/>
        <v>1.0106250000000001E-2</v>
      </c>
      <c r="E197">
        <f t="shared" si="165"/>
        <v>9.1874999999999995E-3</v>
      </c>
      <c r="F197">
        <f t="shared" si="165"/>
        <v>6.1250000000000002E-3</v>
      </c>
      <c r="G197">
        <f t="shared" si="165"/>
        <v>6.1249999999999998E-4</v>
      </c>
      <c r="H197">
        <f t="shared" si="165"/>
        <v>7.6562500000000006E-2</v>
      </c>
      <c r="J197">
        <f>(J195+J196)/2</f>
        <v>1.0208333333333333E-2</v>
      </c>
      <c r="K197">
        <f>(K195+K196)/2</f>
        <v>7.6562499999999999E-3</v>
      </c>
      <c r="L197">
        <f>(L195+L196)/2</f>
        <v>6.1250000000000002E-3</v>
      </c>
    </row>
    <row r="198" spans="3:12" ht="15" customHeight="1" x14ac:dyDescent="0.25">
      <c r="C198">
        <f t="shared" ref="C198:H198" si="166">2*$B$151*SUMPRODUCT(NORMDIST($B$152:$B$181,0,$B$7,FALSE()),NORMDIST(($B$5-C197-$B$152:$B$181)/C18,0,1,TRUE()))</f>
        <v>1.9925508189991864E-2</v>
      </c>
      <c r="D198">
        <f t="shared" si="166"/>
        <v>1.7059704434840998E-2</v>
      </c>
      <c r="E198">
        <f t="shared" si="166"/>
        <v>1.580937688465257E-2</v>
      </c>
      <c r="F198">
        <f t="shared" si="166"/>
        <v>1.1118660568625103E-2</v>
      </c>
      <c r="G198">
        <f t="shared" si="166"/>
        <v>3.5196586248824257E-7</v>
      </c>
      <c r="H198">
        <f t="shared" si="166"/>
        <v>1.9925508189991864E-2</v>
      </c>
      <c r="J198">
        <f>2*$B$151*SUMPRODUCT(NORMDIST($B$152:$B$181,0,$B$7,FALSE()),NORMDIST(($B$5-J197-$B$152:$B$181)/J18,0,1,TRUE()))</f>
        <v>1.7194660538954725E-2</v>
      </c>
      <c r="K198">
        <f>2*$B$151*SUMPRODUCT(NORMDIST($B$152:$B$181,0,$B$7,FALSE()),NORMDIST(($B$5-K197-$B$152:$B$181)/K18,0,1,TRUE()))</f>
        <v>1.3572421905157015E-2</v>
      </c>
      <c r="L198">
        <f>2*$B$151*SUMPRODUCT(NORMDIST($B$152:$B$181,0,$B$7,FALSE()),NORMDIST(($B$5-L197-$B$152:$B$181)/L18,0,1,TRUE()))</f>
        <v>1.1118660568625103E-2</v>
      </c>
    </row>
    <row r="199" spans="3:12" ht="15" customHeight="1" x14ac:dyDescent="0.25">
      <c r="C199">
        <f t="shared" ref="C199:H199" si="167">IF(C198&gt;$B$150,C197,C195)</f>
        <v>6.1249999999999999E-2</v>
      </c>
      <c r="D199">
        <f t="shared" si="167"/>
        <v>0</v>
      </c>
      <c r="E199">
        <f t="shared" si="167"/>
        <v>0</v>
      </c>
      <c r="F199">
        <f t="shared" si="167"/>
        <v>0</v>
      </c>
      <c r="G199">
        <f t="shared" si="167"/>
        <v>0</v>
      </c>
      <c r="H199">
        <f t="shared" si="167"/>
        <v>6.1249999999999999E-2</v>
      </c>
      <c r="J199">
        <f>IF(J198&gt;$B$150,J197,J195)</f>
        <v>0</v>
      </c>
      <c r="K199">
        <f>IF(K198&gt;$B$150,K197,K195)</f>
        <v>0</v>
      </c>
      <c r="L199">
        <f>IF(L198&gt;$B$150,L197,L195)</f>
        <v>0</v>
      </c>
    </row>
    <row r="200" spans="3:12" ht="15" customHeight="1" x14ac:dyDescent="0.25">
      <c r="C200">
        <f t="shared" ref="C200:H200" si="168">IF(C198&gt;$B$150,C196,C197)</f>
        <v>7.6562500000000006E-2</v>
      </c>
      <c r="D200">
        <f t="shared" si="168"/>
        <v>1.0106250000000001E-2</v>
      </c>
      <c r="E200">
        <f t="shared" si="168"/>
        <v>9.1874999999999995E-3</v>
      </c>
      <c r="F200">
        <f t="shared" si="168"/>
        <v>6.1250000000000002E-3</v>
      </c>
      <c r="G200">
        <f t="shared" si="168"/>
        <v>6.1249999999999998E-4</v>
      </c>
      <c r="H200">
        <f t="shared" si="168"/>
        <v>7.6562500000000006E-2</v>
      </c>
      <c r="J200">
        <f>IF(J198&gt;$B$150,J196,J197)</f>
        <v>1.0208333333333333E-2</v>
      </c>
      <c r="K200">
        <f>IF(K198&gt;$B$150,K196,K197)</f>
        <v>7.6562499999999999E-3</v>
      </c>
      <c r="L200">
        <f>IF(L198&gt;$B$150,L196,L197)</f>
        <v>6.1250000000000002E-3</v>
      </c>
    </row>
    <row r="201" spans="3:12" ht="15" customHeight="1" x14ac:dyDescent="0.25">
      <c r="C201">
        <f t="shared" ref="C201:H201" si="169">(C199+C200)/2</f>
        <v>6.8906250000000002E-2</v>
      </c>
      <c r="D201">
        <f t="shared" si="169"/>
        <v>5.0531250000000003E-3</v>
      </c>
      <c r="E201">
        <f t="shared" si="169"/>
        <v>4.5937499999999997E-3</v>
      </c>
      <c r="F201">
        <f t="shared" si="169"/>
        <v>3.0625000000000001E-3</v>
      </c>
      <c r="G201">
        <f t="shared" si="169"/>
        <v>3.0624999999999999E-4</v>
      </c>
      <c r="H201">
        <f t="shared" si="169"/>
        <v>6.8906250000000002E-2</v>
      </c>
      <c r="J201">
        <f>(J199+J200)/2</f>
        <v>5.1041666666666666E-3</v>
      </c>
      <c r="K201">
        <f>(K199+K200)/2</f>
        <v>3.8281249999999999E-3</v>
      </c>
      <c r="L201">
        <f>(L199+L200)/2</f>
        <v>3.0625000000000001E-3</v>
      </c>
    </row>
    <row r="202" spans="3:12" ht="15" customHeight="1" x14ac:dyDescent="0.25">
      <c r="C202">
        <f t="shared" ref="C202:H202" si="170">2*$B$151*SUMPRODUCT(NORMDIST($B$152:$B$181,0,$B$7,FALSE()),NORMDIST(($B$5-C201-$B$152:$B$181)/C18,0,1,TRUE()))</f>
        <v>2.0303857405176248E-2</v>
      </c>
      <c r="D202">
        <f t="shared" si="170"/>
        <v>1.7375799428076665E-2</v>
      </c>
      <c r="E202">
        <f t="shared" si="170"/>
        <v>1.6105013008454426E-2</v>
      </c>
      <c r="F202">
        <f t="shared" si="170"/>
        <v>1.1335434669707887E-2</v>
      </c>
      <c r="G202">
        <f t="shared" si="170"/>
        <v>3.7656128971833597E-7</v>
      </c>
      <c r="H202">
        <f t="shared" si="170"/>
        <v>2.0303857405176248E-2</v>
      </c>
      <c r="J202">
        <f>2*$B$151*SUMPRODUCT(NORMDIST($B$152:$B$181,0,$B$7,FALSE()),NORMDIST(($B$5-J201-$B$152:$B$181)/J18,0,1,TRUE()))</f>
        <v>1.7512946145928489E-2</v>
      </c>
      <c r="K202">
        <f>2*$B$151*SUMPRODUCT(NORMDIST($B$152:$B$181,0,$B$7,FALSE()),NORMDIST(($B$5-K201-$B$152:$B$181)/K18,0,1,TRUE()))</f>
        <v>1.3830798613153559E-2</v>
      </c>
      <c r="L202">
        <f>2*$B$151*SUMPRODUCT(NORMDIST($B$152:$B$181,0,$B$7,FALSE()),NORMDIST(($B$5-L201-$B$152:$B$181)/L18,0,1,TRUE()))</f>
        <v>1.1335434669707887E-2</v>
      </c>
    </row>
    <row r="203" spans="3:12" ht="15" customHeight="1" x14ac:dyDescent="0.25">
      <c r="C203">
        <f t="shared" ref="C203:H203" si="171">IF(C202&gt;$B$150,C201,C199)</f>
        <v>6.8906250000000002E-2</v>
      </c>
      <c r="D203">
        <f t="shared" si="171"/>
        <v>0</v>
      </c>
      <c r="E203">
        <f t="shared" si="171"/>
        <v>0</v>
      </c>
      <c r="F203">
        <f t="shared" si="171"/>
        <v>0</v>
      </c>
      <c r="G203">
        <f t="shared" si="171"/>
        <v>0</v>
      </c>
      <c r="H203">
        <f t="shared" si="171"/>
        <v>6.8906250000000002E-2</v>
      </c>
      <c r="J203">
        <f>IF(J202&gt;$B$150,J201,J199)</f>
        <v>0</v>
      </c>
      <c r="K203">
        <f>IF(K202&gt;$B$150,K201,K199)</f>
        <v>0</v>
      </c>
      <c r="L203">
        <f>IF(L202&gt;$B$150,L201,L199)</f>
        <v>0</v>
      </c>
    </row>
    <row r="204" spans="3:12" ht="15" customHeight="1" x14ac:dyDescent="0.25">
      <c r="C204">
        <f t="shared" ref="C204:H204" si="172">IF(C202&gt;$B$150,C200,C201)</f>
        <v>7.6562500000000006E-2</v>
      </c>
      <c r="D204">
        <f t="shared" si="172"/>
        <v>5.0531250000000003E-3</v>
      </c>
      <c r="E204">
        <f t="shared" si="172"/>
        <v>4.5937499999999997E-3</v>
      </c>
      <c r="F204">
        <f t="shared" si="172"/>
        <v>3.0625000000000001E-3</v>
      </c>
      <c r="G204">
        <f t="shared" si="172"/>
        <v>3.0624999999999999E-4</v>
      </c>
      <c r="H204">
        <f t="shared" si="172"/>
        <v>7.6562500000000006E-2</v>
      </c>
      <c r="J204">
        <f>IF(J202&gt;$B$150,J200,J201)</f>
        <v>5.1041666666666666E-3</v>
      </c>
      <c r="K204">
        <f>IF(K202&gt;$B$150,K200,K201)</f>
        <v>3.8281249999999999E-3</v>
      </c>
      <c r="L204">
        <f>IF(L202&gt;$B$150,L200,L201)</f>
        <v>3.0625000000000001E-3</v>
      </c>
    </row>
    <row r="205" spans="3:12" ht="15" customHeight="1" x14ac:dyDescent="0.25">
      <c r="C205">
        <f t="shared" ref="C205:H205" si="173">(C203+C204)/2</f>
        <v>7.2734375000000004E-2</v>
      </c>
      <c r="D205">
        <f t="shared" si="173"/>
        <v>2.5265625000000002E-3</v>
      </c>
      <c r="E205">
        <f t="shared" si="173"/>
        <v>2.2968749999999999E-3</v>
      </c>
      <c r="F205">
        <f t="shared" si="173"/>
        <v>1.5312500000000001E-3</v>
      </c>
      <c r="G205">
        <f t="shared" si="173"/>
        <v>1.53125E-4</v>
      </c>
      <c r="H205">
        <f t="shared" si="173"/>
        <v>7.2734375000000004E-2</v>
      </c>
      <c r="J205">
        <f>(J203+J204)/2</f>
        <v>2.5520833333333333E-3</v>
      </c>
      <c r="K205">
        <f>(K203+K204)/2</f>
        <v>1.9140625E-3</v>
      </c>
      <c r="L205">
        <f>(L203+L204)/2</f>
        <v>1.5312500000000001E-3</v>
      </c>
    </row>
    <row r="206" spans="3:12" ht="15" customHeight="1" x14ac:dyDescent="0.25">
      <c r="C206">
        <f t="shared" ref="C206:H206" si="174">2*$B$151*SUMPRODUCT(NORMDIST($B$152:$B$181,0,$B$7,FALSE()),NORMDIST(($B$5-C205-$B$152:$B$181)/C18,0,1,TRUE()))</f>
        <v>2.0114177955471955E-2</v>
      </c>
      <c r="D206">
        <f t="shared" si="174"/>
        <v>1.7535073522241085E-2</v>
      </c>
      <c r="E206">
        <f t="shared" si="174"/>
        <v>1.6254005363566706E-2</v>
      </c>
      <c r="F206">
        <f t="shared" si="174"/>
        <v>1.144476271199253E-2</v>
      </c>
      <c r="G206">
        <f t="shared" si="174"/>
        <v>3.8946345375372975E-7</v>
      </c>
      <c r="H206">
        <f t="shared" si="174"/>
        <v>2.0114177955471955E-2</v>
      </c>
      <c r="J206">
        <f>2*$B$151*SUMPRODUCT(NORMDIST($B$152:$B$181,0,$B$7,FALSE()),NORMDIST(($B$5-J205-$B$152:$B$181)/J18,0,1,TRUE()))</f>
        <v>1.7673320904145317E-2</v>
      </c>
      <c r="K206">
        <f>2*$B$151*SUMPRODUCT(NORMDIST($B$152:$B$181,0,$B$7,FALSE()),NORMDIST(($B$5-K205-$B$152:$B$181)/K18,0,1,TRUE()))</f>
        <v>1.3961056534403831E-2</v>
      </c>
      <c r="L206">
        <f>2*$B$151*SUMPRODUCT(NORMDIST($B$152:$B$181,0,$B$7,FALSE()),NORMDIST(($B$5-L205-$B$152:$B$181)/L18,0,1,TRUE()))</f>
        <v>1.144476271199253E-2</v>
      </c>
    </row>
    <row r="207" spans="3:12" ht="15" customHeight="1" x14ac:dyDescent="0.25">
      <c r="C207">
        <f t="shared" ref="C207:H207" si="175">IF(C206&gt;$B$150,C205,C203)</f>
        <v>7.2734375000000004E-2</v>
      </c>
      <c r="D207">
        <f t="shared" si="175"/>
        <v>0</v>
      </c>
      <c r="E207">
        <f t="shared" si="175"/>
        <v>0</v>
      </c>
      <c r="F207">
        <f t="shared" si="175"/>
        <v>0</v>
      </c>
      <c r="G207">
        <f t="shared" si="175"/>
        <v>0</v>
      </c>
      <c r="H207">
        <f t="shared" si="175"/>
        <v>7.2734375000000004E-2</v>
      </c>
      <c r="J207">
        <f>IF(J206&gt;$B$150,J205,J203)</f>
        <v>0</v>
      </c>
      <c r="K207">
        <f>IF(K206&gt;$B$150,K205,K203)</f>
        <v>0</v>
      </c>
      <c r="L207">
        <f>IF(L206&gt;$B$150,L205,L203)</f>
        <v>0</v>
      </c>
    </row>
    <row r="208" spans="3:12" ht="15" customHeight="1" x14ac:dyDescent="0.25">
      <c r="C208">
        <f t="shared" ref="C208:H208" si="176">IF(C206&gt;$B$150,C204,C205)</f>
        <v>7.6562500000000006E-2</v>
      </c>
      <c r="D208">
        <f t="shared" si="176"/>
        <v>2.5265625000000002E-3</v>
      </c>
      <c r="E208">
        <f t="shared" si="176"/>
        <v>2.2968749999999999E-3</v>
      </c>
      <c r="F208">
        <f t="shared" si="176"/>
        <v>1.5312500000000001E-3</v>
      </c>
      <c r="G208">
        <f t="shared" si="176"/>
        <v>1.53125E-4</v>
      </c>
      <c r="H208">
        <f t="shared" si="176"/>
        <v>7.6562500000000006E-2</v>
      </c>
      <c r="J208">
        <f>IF(J206&gt;$B$150,J204,J205)</f>
        <v>2.5520833333333333E-3</v>
      </c>
      <c r="K208">
        <f>IF(K206&gt;$B$150,K204,K205)</f>
        <v>1.9140625E-3</v>
      </c>
      <c r="L208">
        <f>IF(L206&gt;$B$150,L204,L205)</f>
        <v>1.5312500000000001E-3</v>
      </c>
    </row>
    <row r="209" spans="1:12" ht="15" customHeight="1" x14ac:dyDescent="0.25">
      <c r="C209">
        <f t="shared" ref="C209:H209" si="177">(C207+C208)/2</f>
        <v>7.4648437499999998E-2</v>
      </c>
      <c r="D209">
        <f t="shared" si="177"/>
        <v>1.2632812500000001E-3</v>
      </c>
      <c r="E209">
        <f t="shared" si="177"/>
        <v>1.1484374999999999E-3</v>
      </c>
      <c r="F209">
        <f t="shared" si="177"/>
        <v>7.6562500000000003E-4</v>
      </c>
      <c r="G209">
        <f t="shared" si="177"/>
        <v>7.6562499999999998E-5</v>
      </c>
      <c r="H209">
        <f t="shared" si="177"/>
        <v>7.4648437499999998E-2</v>
      </c>
      <c r="J209">
        <f>(J207+J208)/2</f>
        <v>1.2760416666666666E-3</v>
      </c>
      <c r="K209">
        <f>(K207+K208)/2</f>
        <v>9.5703124999999998E-4</v>
      </c>
      <c r="L209">
        <f>(L207+L208)/2</f>
        <v>7.6562500000000003E-4</v>
      </c>
    </row>
    <row r="210" spans="1:12" ht="15" customHeight="1" x14ac:dyDescent="0.25">
      <c r="C210">
        <f t="shared" ref="C210:H210" si="178">2*$B$151*SUMPRODUCT(NORMDIST($B$152:$B$181,0,$B$7,FALSE()),NORMDIST(($B$5-C209-$B$152:$B$181)/C18,0,1,TRUE()))</f>
        <v>2.0019716641313377E-2</v>
      </c>
      <c r="D210">
        <f t="shared" si="178"/>
        <v>1.7615015982622478E-2</v>
      </c>
      <c r="E210">
        <f t="shared" si="178"/>
        <v>1.6328794060675264E-2</v>
      </c>
      <c r="F210">
        <f t="shared" si="178"/>
        <v>1.1499661477888445E-2</v>
      </c>
      <c r="G210">
        <f t="shared" si="178"/>
        <v>3.9607104987185876E-7</v>
      </c>
      <c r="H210">
        <f t="shared" si="178"/>
        <v>2.0019716641313377E-2</v>
      </c>
      <c r="J210">
        <f>2*$B$151*SUMPRODUCT(NORMDIST($B$152:$B$181,0,$B$7,FALSE()),NORMDIST(($B$5-J209-$B$152:$B$181)/J18,0,1,TRUE()))</f>
        <v>1.7753815015262981E-2</v>
      </c>
      <c r="K210">
        <f>2*$B$151*SUMPRODUCT(NORMDIST($B$152:$B$181,0,$B$7,FALSE()),NORMDIST(($B$5-K209-$B$152:$B$181)/K18,0,1,TRUE()))</f>
        <v>1.4026452121664383E-2</v>
      </c>
      <c r="L210">
        <f>2*$B$151*SUMPRODUCT(NORMDIST($B$152:$B$181,0,$B$7,FALSE()),NORMDIST(($B$5-L209-$B$152:$B$181)/L18,0,1,TRUE()))</f>
        <v>1.1499661477888445E-2</v>
      </c>
    </row>
    <row r="211" spans="1:12" ht="15" customHeight="1" x14ac:dyDescent="0.25">
      <c r="C211">
        <f t="shared" ref="C211:H211" si="179">IF(C210&gt;$B$150,C209,C207)</f>
        <v>7.4648437499999998E-2</v>
      </c>
      <c r="D211">
        <f t="shared" si="179"/>
        <v>0</v>
      </c>
      <c r="E211">
        <f t="shared" si="179"/>
        <v>0</v>
      </c>
      <c r="F211">
        <f t="shared" si="179"/>
        <v>0</v>
      </c>
      <c r="G211">
        <f t="shared" si="179"/>
        <v>0</v>
      </c>
      <c r="H211">
        <f t="shared" si="179"/>
        <v>7.4648437499999998E-2</v>
      </c>
      <c r="J211">
        <f>IF(J210&gt;$B$150,J209,J207)</f>
        <v>0</v>
      </c>
      <c r="K211">
        <f>IF(K210&gt;$B$150,K209,K207)</f>
        <v>0</v>
      </c>
      <c r="L211">
        <f>IF(L210&gt;$B$150,L209,L207)</f>
        <v>0</v>
      </c>
    </row>
    <row r="212" spans="1:12" ht="15" customHeight="1" x14ac:dyDescent="0.25">
      <c r="C212">
        <f t="shared" ref="C212:H212" si="180">IF(C210&gt;$B$150,C208,C209)</f>
        <v>7.6562500000000006E-2</v>
      </c>
      <c r="D212">
        <f t="shared" si="180"/>
        <v>1.2632812500000001E-3</v>
      </c>
      <c r="E212">
        <f t="shared" si="180"/>
        <v>1.1484374999999999E-3</v>
      </c>
      <c r="F212">
        <f t="shared" si="180"/>
        <v>7.6562500000000003E-4</v>
      </c>
      <c r="G212">
        <f t="shared" si="180"/>
        <v>7.6562499999999998E-5</v>
      </c>
      <c r="H212">
        <f t="shared" si="180"/>
        <v>7.6562500000000006E-2</v>
      </c>
      <c r="J212">
        <f>IF(J210&gt;$B$150,J208,J209)</f>
        <v>1.2760416666666666E-3</v>
      </c>
      <c r="K212">
        <f>IF(K210&gt;$B$150,K208,K209)</f>
        <v>9.5703124999999998E-4</v>
      </c>
      <c r="L212">
        <f>IF(L210&gt;$B$150,L208,L209)</f>
        <v>7.6562500000000003E-4</v>
      </c>
    </row>
    <row r="213" spans="1:12" ht="15" customHeight="1" x14ac:dyDescent="0.25">
      <c r="C213">
        <f t="shared" ref="C213:H213" si="181">(C211+C212)/2</f>
        <v>7.5605468750000002E-2</v>
      </c>
      <c r="D213">
        <f t="shared" si="181"/>
        <v>6.3164062500000004E-4</v>
      </c>
      <c r="E213">
        <f t="shared" si="181"/>
        <v>5.7421874999999997E-4</v>
      </c>
      <c r="F213">
        <f t="shared" si="181"/>
        <v>3.8281250000000001E-4</v>
      </c>
      <c r="G213">
        <f t="shared" si="181"/>
        <v>3.8281249999999999E-5</v>
      </c>
      <c r="H213">
        <f t="shared" si="181"/>
        <v>7.5605468750000002E-2</v>
      </c>
      <c r="J213">
        <f>(J211+J212)/2</f>
        <v>6.3802083333333332E-4</v>
      </c>
      <c r="K213">
        <f>(K211+K212)/2</f>
        <v>4.7851562499999999E-4</v>
      </c>
      <c r="L213">
        <f>(L211+L212)/2</f>
        <v>3.8281250000000001E-4</v>
      </c>
    </row>
    <row r="214" spans="1:12" ht="15" customHeight="1" x14ac:dyDescent="0.25">
      <c r="C214">
        <f t="shared" ref="C214:H214" si="182">2*$B$151*SUMPRODUCT(NORMDIST($B$152:$B$181,0,$B$7,FALSE()),NORMDIST(($B$5-C213-$B$152:$B$181)/C18,0,1,TRUE()))</f>
        <v>1.9972580780544529E-2</v>
      </c>
      <c r="D214">
        <f t="shared" si="182"/>
        <v>1.7655063407772436E-2</v>
      </c>
      <c r="E214">
        <f t="shared" si="182"/>
        <v>1.636626140380763E-2</v>
      </c>
      <c r="F214">
        <f t="shared" si="182"/>
        <v>1.1527169481480082E-2</v>
      </c>
      <c r="G214">
        <f t="shared" si="182"/>
        <v>3.9941466962192028E-7</v>
      </c>
      <c r="H214">
        <f t="shared" si="182"/>
        <v>1.9972580780544529E-2</v>
      </c>
      <c r="J214">
        <f>2*$B$151*SUMPRODUCT(NORMDIST($B$152:$B$181,0,$B$7,FALSE()),NORMDIST(($B$5-J213-$B$152:$B$181)/J18,0,1,TRUE()))</f>
        <v>1.77941385928569E-2</v>
      </c>
      <c r="K214">
        <f>2*$B$151*SUMPRODUCT(NORMDIST($B$152:$B$181,0,$B$7,FALSE()),NORMDIST(($B$5-K213-$B$152:$B$181)/K18,0,1,TRUE()))</f>
        <v>1.4059216473178726E-2</v>
      </c>
      <c r="L214">
        <f>2*$B$151*SUMPRODUCT(NORMDIST($B$152:$B$181,0,$B$7,FALSE()),NORMDIST(($B$5-L213-$B$152:$B$181)/L18,0,1,TRUE()))</f>
        <v>1.1527169481480082E-2</v>
      </c>
    </row>
    <row r="215" spans="1:12" ht="15" customHeight="1" x14ac:dyDescent="0.25">
      <c r="A215" t="s">
        <v>529</v>
      </c>
      <c r="C215" s="233">
        <f t="shared" ref="C215:H215" si="183">IF(C168&lt;=$B$150,0,C213)</f>
        <v>7.5605468750000002E-2</v>
      </c>
      <c r="D215" s="233">
        <f t="shared" si="183"/>
        <v>0</v>
      </c>
      <c r="E215" s="233">
        <f t="shared" si="183"/>
        <v>0</v>
      </c>
      <c r="F215" s="233">
        <f t="shared" si="183"/>
        <v>0</v>
      </c>
      <c r="G215" s="233">
        <f t="shared" si="183"/>
        <v>0</v>
      </c>
      <c r="H215" s="233">
        <f t="shared" si="183"/>
        <v>7.5605468750000002E-2</v>
      </c>
      <c r="J215" s="233">
        <f>IF(J168&lt;=$B$150,0,J213)</f>
        <v>0</v>
      </c>
      <c r="K215" s="233">
        <f>IF(K168&lt;=$B$150,0,K213)</f>
        <v>0</v>
      </c>
      <c r="L215" s="233">
        <f>IF(L168&lt;=$B$150,0,L213)</f>
        <v>0</v>
      </c>
    </row>
    <row r="216" spans="1:12" ht="15" customHeight="1" x14ac:dyDescent="0.25">
      <c r="A216" t="s">
        <v>530</v>
      </c>
      <c r="C216">
        <f t="shared" ref="C216:H216" si="184">$B$5-C215</f>
        <v>1.9243945312499999</v>
      </c>
      <c r="D216">
        <f t="shared" si="184"/>
        <v>2</v>
      </c>
      <c r="E216">
        <f t="shared" si="184"/>
        <v>2</v>
      </c>
      <c r="F216">
        <f t="shared" si="184"/>
        <v>2</v>
      </c>
      <c r="G216">
        <f t="shared" si="184"/>
        <v>2</v>
      </c>
      <c r="H216">
        <f t="shared" si="184"/>
        <v>1.9243945312499999</v>
      </c>
      <c r="J216">
        <f>$B$5-J215</f>
        <v>2</v>
      </c>
      <c r="K216">
        <f>$B$5-K215</f>
        <v>2</v>
      </c>
      <c r="L216">
        <f>$B$5-L215</f>
        <v>2</v>
      </c>
    </row>
    <row r="217" spans="1:12" ht="15" customHeight="1" x14ac:dyDescent="0.25">
      <c r="A217" t="s">
        <v>531</v>
      </c>
      <c r="C217" s="128">
        <f t="shared" ref="C217:H217" si="185">IF(C168&lt;=$B$150,C168,C214)</f>
        <v>1.9972580780544529E-2</v>
      </c>
      <c r="D217" s="128">
        <f t="shared" si="185"/>
        <v>1.7695161568450888E-2</v>
      </c>
      <c r="E217" s="128">
        <f t="shared" si="185"/>
        <v>1.6403777357717256E-2</v>
      </c>
      <c r="F217" s="128">
        <f t="shared" si="185"/>
        <v>1.1554716539994202E-2</v>
      </c>
      <c r="G217" s="128">
        <f t="shared" si="185"/>
        <v>4.0278510495778451E-7</v>
      </c>
      <c r="H217" s="128">
        <f t="shared" si="185"/>
        <v>1.9972580780544529E-2</v>
      </c>
      <c r="J217" s="128">
        <f>IF(J168&lt;=$B$150,J168,J214)</f>
        <v>1.7834513123033004E-2</v>
      </c>
      <c r="K217" s="128">
        <f>IF(K168&lt;=$B$150,K168,K214)</f>
        <v>1.4092025158352854E-2</v>
      </c>
      <c r="L217" s="128">
        <f>IF(L168&lt;=$B$150,L168,L214)</f>
        <v>1.1554716539994202E-2</v>
      </c>
    </row>
    <row r="218" spans="1:12" ht="15" customHeight="1" x14ac:dyDescent="0.25"/>
    <row r="219" spans="1:12" ht="15" customHeight="1" x14ac:dyDescent="0.25"/>
    <row r="220" spans="1:12" ht="15" customHeight="1" x14ac:dyDescent="0.25">
      <c r="A220" t="s">
        <v>532</v>
      </c>
      <c r="C220" s="128">
        <f t="shared" ref="C220:H220" si="186">$B$6-AF143</f>
        <v>6.3749879157835254E-2</v>
      </c>
      <c r="D220" s="128">
        <f t="shared" si="186"/>
        <v>3.0623675979897791E-2</v>
      </c>
      <c r="E220" s="128">
        <f t="shared" si="186"/>
        <v>2.7265353960724825E-2</v>
      </c>
      <c r="F220" s="128">
        <f t="shared" si="186"/>
        <v>1.704487401950161E-2</v>
      </c>
      <c r="G220" s="128">
        <f t="shared" si="186"/>
        <v>4.7576624123262246E-3</v>
      </c>
      <c r="H220" s="128">
        <f t="shared" si="186"/>
        <v>6.3749879157835254E-2</v>
      </c>
      <c r="J220" s="128">
        <f>$B$6-AL143</f>
        <v>3.1005130191303798E-2</v>
      </c>
      <c r="K220" s="128">
        <f>$B$6-AM143</f>
        <v>2.1967285569784889E-2</v>
      </c>
      <c r="L220" s="128">
        <f>$B$6-AN143</f>
        <v>1.704487401950161E-2</v>
      </c>
    </row>
    <row r="221" spans="1:12" ht="15" customHeight="1" x14ac:dyDescent="0.25">
      <c r="A221" t="s">
        <v>533</v>
      </c>
      <c r="C221" s="303">
        <f t="shared" ref="C221:H221" si="187">C220*$B$8</f>
        <v>31.874939578917626</v>
      </c>
      <c r="D221" s="303">
        <f t="shared" si="187"/>
        <v>15.311837989948895</v>
      </c>
      <c r="E221" s="303">
        <f t="shared" si="187"/>
        <v>13.632676980362412</v>
      </c>
      <c r="F221" s="303">
        <f t="shared" si="187"/>
        <v>8.5224370097508046</v>
      </c>
      <c r="G221" s="303">
        <f t="shared" si="187"/>
        <v>2.3788312061631123</v>
      </c>
      <c r="H221" s="303">
        <f t="shared" si="187"/>
        <v>31.874939578917626</v>
      </c>
      <c r="J221" s="303">
        <f>J220*$B$8</f>
        <v>15.502565095651899</v>
      </c>
      <c r="K221" s="303">
        <f>K220*$B$8</f>
        <v>10.983642784892444</v>
      </c>
      <c r="L221" s="303">
        <f>L220*$B$8</f>
        <v>8.5224370097508046</v>
      </c>
    </row>
    <row r="222" spans="1:12" ht="15" customHeight="1" x14ac:dyDescent="0.25">
      <c r="A222" t="s">
        <v>534</v>
      </c>
      <c r="C222" s="131">
        <f t="shared" ref="C222:H222" si="188">C221*$B$9</f>
        <v>3718.7429508737232</v>
      </c>
      <c r="D222" s="131">
        <f t="shared" si="188"/>
        <v>1786.3810988273713</v>
      </c>
      <c r="E222" s="131">
        <f t="shared" si="188"/>
        <v>1590.4789810422815</v>
      </c>
      <c r="F222" s="131">
        <f t="shared" si="188"/>
        <v>994.28431780426058</v>
      </c>
      <c r="G222" s="131">
        <f t="shared" si="188"/>
        <v>277.53030738569646</v>
      </c>
      <c r="H222" s="131">
        <f t="shared" si="188"/>
        <v>3718.7429508737232</v>
      </c>
      <c r="J222" s="131">
        <f>J221*$B$9</f>
        <v>1808.6325944927216</v>
      </c>
      <c r="K222" s="131">
        <f>K221*$B$9</f>
        <v>1281.4249915707851</v>
      </c>
      <c r="L222" s="131">
        <f>L221*$B$9</f>
        <v>994.28431780426058</v>
      </c>
    </row>
    <row r="223" spans="1:12" ht="15" customHeight="1" x14ac:dyDescent="0.25"/>
    <row r="224" spans="1:12" ht="15" customHeight="1" x14ac:dyDescent="0.25"/>
    <row r="225" spans="1:23" ht="15" customHeight="1" x14ac:dyDescent="0.25"/>
    <row r="226" spans="1:23" ht="15" customHeight="1" x14ac:dyDescent="0.25"/>
    <row r="227" spans="1:23" ht="15" customHeight="1" x14ac:dyDescent="0.25"/>
    <row r="228" spans="1:23" ht="15" customHeight="1" x14ac:dyDescent="0.25"/>
    <row r="229" spans="1:23" ht="15" customHeight="1" x14ac:dyDescent="0.25"/>
    <row r="230" spans="1:23" ht="15" customHeight="1" x14ac:dyDescent="0.25">
      <c r="A230" s="230" t="s">
        <v>535</v>
      </c>
    </row>
    <row r="231" spans="1:23" ht="15" customHeight="1" x14ac:dyDescent="0.25"/>
    <row r="232" spans="1:23" ht="15" customHeight="1" x14ac:dyDescent="0.25">
      <c r="A232" t="s">
        <v>536</v>
      </c>
      <c r="B232">
        <f>2*'Range Analysis'!F5/39</f>
        <v>0.10256410256410256</v>
      </c>
    </row>
    <row r="233" spans="1:23" ht="15" customHeight="1" x14ac:dyDescent="0.25">
      <c r="A233">
        <f>-'Range Analysis'!$F$5+0*$B$232</f>
        <v>-2</v>
      </c>
      <c r="C233">
        <f>NORMDIST($A$233,0,'Range Analysis'!$F$7,FALSE())*(NORMDIST((('Range Analysis'!$F$5-0.98*'Range Analysis'!G24)-$A$233)/('Range Analysis'!G24/2),0,1,TRUE())-NORMDIST((-('Range Analysis'!$F$5-0.98*'Range Analysis'!G24)-$A$233)/('Range Analysis'!G24/2),0,1,TRUE()))</f>
        <v>2.2221360767105359E-3</v>
      </c>
      <c r="D233">
        <f>NORMDIST($A$233,0,'Range Analysis'!$F$7,FALSE())*(NORMDIST((('Range Analysis'!$F$5-0.98*'Range Analysis'!G25)-$A$233)/('Range Analysis'!G25/2),0,1,TRUE())-NORMDIST((-('Range Analysis'!$F$5-0.98*'Range Analysis'!G25)-$A$233)/('Range Analysis'!G25/2),0,1,TRUE()))</f>
        <v>2.222136145208864E-3</v>
      </c>
      <c r="E233">
        <f>NORMDIST($A$233,0,'Range Analysis'!$F$7,FALSE())*(NORMDIST((('Range Analysis'!$F$5-0.98*'Range Analysis'!G26)-$A$233)/('Range Analysis'!G26/2),0,1,TRUE())-NORMDIST((-('Range Analysis'!$F$5-0.98*'Range Analysis'!G26)-$A$233)/('Range Analysis'!G26/2),0,1,TRUE()))</f>
        <v>2.2221361452088545E-3</v>
      </c>
      <c r="F233">
        <f>NORMDIST($A$233,0,'Range Analysis'!$F$7,FALSE())*(NORMDIST((('Range Analysis'!$F$5-0.98*'Range Analysis'!G27)-$A$233)/('Range Analysis'!G27/2),0,1,TRUE())-NORMDIST((-('Range Analysis'!$F$5-0.98*'Range Analysis'!G27)-$A$233)/('Range Analysis'!G27/2),0,1,TRUE()))</f>
        <v>2.222136145208864E-3</v>
      </c>
      <c r="G233">
        <f>NORMDIST($A$233,0,'Range Analysis'!$F$7,FALSE())*(NORMDIST((('Range Analysis'!$F$5-0.98*'Range Analysis'!G28)-$A$233)/('Range Analysis'!G28/2),0,1,TRUE())-NORMDIST((-('Range Analysis'!$F$5-0.98*'Range Analysis'!G28)-$A$233)/('Range Analysis'!G28/2),0,1,TRUE()))</f>
        <v>2.222136145208884E-3</v>
      </c>
      <c r="H233">
        <f>NORMDIST($A$233,0,'Range Analysis'!$F$7,FALSE())*(NORMDIST((('Range Analysis'!$F$5-0.98*'Range Analysis'!G29)-$A$233)/('Range Analysis'!G29/2),0,1,TRUE())-NORMDIST((-('Range Analysis'!$F$5-0.98*'Range Analysis'!G29)-$A$233)/('Range Analysis'!G29/2),0,1,TRUE()))</f>
        <v>2.2221360767105359E-3</v>
      </c>
      <c r="I233">
        <f>NORMDIST($A$233,0,'Range Analysis'!$F$7,FALSE())*(NORMDIST((('Range Analysis'!$F$5-0.98*'Range Analysis'!G30)-$A$233)/('Range Analysis'!G30/2),0,1,TRUE())-NORMDIST((-('Range Analysis'!$F$5-0.98*'Range Analysis'!G30)-$A$233)/('Range Analysis'!G30/2),0,1,TRUE()))</f>
        <v>2.2220242289513943E-3</v>
      </c>
      <c r="J233">
        <f>NORMDIST($A$233,0,'Range Analysis'!$F$7,FALSE())*(NORMDIST((('Range Analysis'!$F$5-IF('Range Analysis'!H24&lt;=0,0,'Range Analysis'!G24*MAX(0,1.04-EXP(0.38*LN('Range Analysis'!H24)-0.54))))-$A$233)/('Range Analysis'!G24/2),0,1,TRUE())-NORMDIST((-('Range Analysis'!$F$5-IF('Range Analysis'!H24&lt;=0,0,'Range Analysis'!G24*MAX(0,1.04-EXP(0.38*LN('Range Analysis'!H24)-0.54))))-$A$233)/('Range Analysis'!G24/2),0,1,TRUE()))</f>
        <v>2.5478358588921717E-2</v>
      </c>
      <c r="K233">
        <f>NORMDIST($A$233,0,'Range Analysis'!$F$7,FALSE())*(NORMDIST((('Range Analysis'!$F$5-IF('Range Analysis'!H25&lt;=0,0,'Range Analysis'!G25*MAX(0,1.04-EXP(0.38*LN('Range Analysis'!H25)-0.54))))-$A$233)/('Range Analysis'!G25/2),0,1,TRUE())-NORMDIST((-('Range Analysis'!$F$5-IF('Range Analysis'!H25&lt;=0,0,'Range Analysis'!G25*MAX(0,1.04-EXP(0.38*LN('Range Analysis'!H25)-0.54))))-$A$233)/('Range Analysis'!G25/2),0,1,TRUE()))</f>
        <v>3.3833974892570153E-2</v>
      </c>
      <c r="L233">
        <f>NORMDIST($A$233,0,'Range Analysis'!$F$7,FALSE())*(NORMDIST((('Range Analysis'!$F$5-IF('Range Analysis'!H26&lt;=0,0,'Range Analysis'!G26*MAX(0,1.04-EXP(0.38*LN('Range Analysis'!H26)-0.54))))-$A$233)/('Range Analysis'!G26/2),0,1,TRUE())-NORMDIST((-('Range Analysis'!$F$5-IF('Range Analysis'!H26&lt;=0,0,'Range Analysis'!G26*MAX(0,1.04-EXP(0.38*LN('Range Analysis'!H26)-0.54))))-$A$233)/('Range Analysis'!G26/2),0,1,TRUE()))</f>
        <v>3.607285828104724E-2</v>
      </c>
      <c r="M233">
        <f>NORMDIST($A$233,0,'Range Analysis'!$F$7,FALSE())*(NORMDIST((('Range Analysis'!$F$5-IF('Range Analysis'!H27&lt;=0,0,'Range Analysis'!G27*MAX(0,1.04-EXP(0.38*LN('Range Analysis'!H27)-0.54))))-$A$233)/('Range Analysis'!G27/2),0,1,TRUE())-NORMDIST((-('Range Analysis'!$F$5-IF('Range Analysis'!H27&lt;=0,0,'Range Analysis'!G27*MAX(0,1.04-EXP(0.38*LN('Range Analysis'!H27)-0.54))))-$A$233)/('Range Analysis'!G27/2),0,1,TRUE()))</f>
        <v>4.4446465033018002E-2</v>
      </c>
      <c r="N233">
        <f>NORMDIST($A$233,0,'Range Analysis'!$F$7,FALSE())*(NORMDIST((('Range Analysis'!$F$5-IF('Range Analysis'!H28&lt;=0,0,'Range Analysis'!G28*MAX(0,1.04-EXP(0.38*LN('Range Analysis'!H28)-0.54))))-$A$233)/('Range Analysis'!G28/2),0,1,TRUE())-NORMDIST((-('Range Analysis'!$F$5-IF('Range Analysis'!H28&lt;=0,0,'Range Analysis'!G28*MAX(0,1.04-EXP(0.38*LN('Range Analysis'!H28)-0.54))))-$A$233)/('Range Analysis'!G28/2),0,1,TRUE()))</f>
        <v>4.4446465033018002E-2</v>
      </c>
      <c r="O233">
        <f>NORMDIST($A$233,0,'Range Analysis'!$F$7,FALSE())*(NORMDIST((('Range Analysis'!$F$5-IF('Range Analysis'!H29&lt;=0,0,'Range Analysis'!G29*MAX(0,1.04-EXP(0.38*LN('Range Analysis'!H29)-0.54))))-$A$233)/('Range Analysis'!G29/2),0,1,TRUE())-NORMDIST((-('Range Analysis'!$F$5-IF('Range Analysis'!H29&lt;=0,0,'Range Analysis'!G29*MAX(0,1.04-EXP(0.38*LN('Range Analysis'!H29)-0.54))))-$A$233)/('Range Analysis'!G29/2),0,1,TRUE()))</f>
        <v>2.5478358588921717E-2</v>
      </c>
      <c r="P233">
        <f>NORMDIST($A$233,0,'Range Analysis'!$F$7,FALSE())*(NORMDIST((('Range Analysis'!$F$5-IF('Range Analysis'!H30&lt;=0,0,'Range Analysis'!G30*MAX(0,1.04-EXP(0.38*LN('Range Analysis'!H30)-0.54))))-$A$233)/('Range Analysis'!G30/2),0,1,TRUE())-NORMDIST((-('Range Analysis'!$F$5-IF('Range Analysis'!H30&lt;=0,0,'Range Analysis'!G30*MAX(0,1.04-EXP(0.38*LN('Range Analysis'!H30)-0.54))))-$A$233)/('Range Analysis'!G30/2),0,1,TRUE()))</f>
        <v>2.2497441272914073E-2</v>
      </c>
      <c r="Q233">
        <f>NORMDIST($A$233,0,'Range Analysis'!$F$7,FALSE())*(NORMDIST(('Range Analysis'!$F$5-$A$233)/('Range Analysis'!G24/2),0,1,TRUE())-NORMDIST((-'Range Analysis'!$F$5-$A$233)/('Range Analysis'!G24/2),0,1,TRUE()))</f>
        <v>4.444646503301794E-2</v>
      </c>
      <c r="R233">
        <f>NORMDIST($A$233,0,'Range Analysis'!$F$7,FALSE())*(NORMDIST(('Range Analysis'!$F$5-$A$233)/('Range Analysis'!G25/2),0,1,TRUE())-NORMDIST((-'Range Analysis'!$F$5-$A$233)/('Range Analysis'!G25/2),0,1,TRUE()))</f>
        <v>4.4446465033018002E-2</v>
      </c>
      <c r="S233">
        <f>NORMDIST($A$233,0,'Range Analysis'!$F$7,FALSE())*(NORMDIST(('Range Analysis'!$F$5-$A$233)/('Range Analysis'!G26/2),0,1,TRUE())-NORMDIST((-'Range Analysis'!$F$5-$A$233)/('Range Analysis'!G26/2),0,1,TRUE()))</f>
        <v>4.4446465033018002E-2</v>
      </c>
      <c r="T233">
        <f>NORMDIST($A$233,0,'Range Analysis'!$F$7,FALSE())*(NORMDIST(('Range Analysis'!$F$5-$A$233)/('Range Analysis'!G27/2),0,1,TRUE())-NORMDIST((-'Range Analysis'!$F$5-$A$233)/('Range Analysis'!G27/2),0,1,TRUE()))</f>
        <v>4.4446465033018002E-2</v>
      </c>
      <c r="U233">
        <f>NORMDIST($A$233,0,'Range Analysis'!$F$7,FALSE())*(NORMDIST(('Range Analysis'!$F$5-$A$233)/('Range Analysis'!G28/2),0,1,TRUE())-NORMDIST((-'Range Analysis'!$F$5-$A$233)/('Range Analysis'!G28/2),0,1,TRUE()))</f>
        <v>4.4446465033018002E-2</v>
      </c>
      <c r="V233">
        <f>NORMDIST($A$233,0,'Range Analysis'!$F$7,FALSE())*(NORMDIST(('Range Analysis'!$F$5-$A$233)/('Range Analysis'!G29/2),0,1,TRUE())-NORMDIST((-'Range Analysis'!$F$5-$A$233)/('Range Analysis'!G29/2),0,1,TRUE()))</f>
        <v>4.444646503301794E-2</v>
      </c>
      <c r="W233">
        <f>NORMDIST($A$233,0,'Range Analysis'!$F$7,FALSE())*(NORMDIST((('Range Analysis'!$F$5-0)-$A$233)/('Range Analysis'!G30/2),0,1,TRUE())-NORMDIST((-('Range Analysis'!$F$5-0)-$A$233)/('Range Analysis'!G30/2),0,1,TRUE()))</f>
        <v>4.4446465031854926E-2</v>
      </c>
    </row>
    <row r="234" spans="1:23" ht="15" customHeight="1" x14ac:dyDescent="0.25">
      <c r="A234">
        <f>-'Range Analysis'!$F$5+1*$B$232</f>
        <v>-1.8974358974358974</v>
      </c>
      <c r="C234">
        <f>NORMDIST($A$234,0,'Range Analysis'!$F$7,FALSE())*(NORMDIST((('Range Analysis'!$F$5-0.98*'Range Analysis'!G24)-$A$234)/('Range Analysis'!G24/2),0,1,TRUE())-NORMDIST((-('Range Analysis'!$F$5-0.98*'Range Analysis'!G24)-$A$234)/('Range Analysis'!G24/2),0,1,TRUE()))</f>
        <v>4.0034588954558602E-3</v>
      </c>
      <c r="D234">
        <f>NORMDIST($A$234,0,'Range Analysis'!$F$7,FALSE())*(NORMDIST((('Range Analysis'!$F$5-0.98*'Range Analysis'!G25)-$A$234)/('Range Analysis'!G25/2),0,1,TRUE())-NORMDIST((-('Range Analysis'!$F$5-0.98*'Range Analysis'!G25)-$A$234)/('Range Analysis'!G25/2),0,1,TRUE()))</f>
        <v>5.0045856393856969E-3</v>
      </c>
      <c r="E234">
        <f>NORMDIST($A$234,0,'Range Analysis'!$F$7,FALSE())*(NORMDIST((('Range Analysis'!$F$5-0.98*'Range Analysis'!G26)-$A$234)/('Range Analysis'!G26/2),0,1,TRUE())-NORMDIST((-('Range Analysis'!$F$5-0.98*'Range Analysis'!G26)-$A$234)/('Range Analysis'!G26/2),0,1,TRUE()))</f>
        <v>5.3343346872811977E-3</v>
      </c>
      <c r="F234">
        <f>NORMDIST($A$234,0,'Range Analysis'!$F$7,FALSE())*(NORMDIST((('Range Analysis'!$F$5-0.98*'Range Analysis'!G27)-$A$234)/('Range Analysis'!G27/2),0,1,TRUE())-NORMDIST((-('Range Analysis'!$F$5-0.98*'Range Analysis'!G27)-$A$234)/('Range Analysis'!G27/2),0,1,TRUE()))</f>
        <v>7.4658023727831703E-3</v>
      </c>
      <c r="G234">
        <f>NORMDIST($A$234,0,'Range Analysis'!$F$7,FALSE())*(NORMDIST((('Range Analysis'!$F$5-0.98*'Range Analysis'!G28)-$A$234)/('Range Analysis'!G28/2),0,1,TRUE())-NORMDIST((-('Range Analysis'!$F$5-0.98*'Range Analysis'!G28)-$A$234)/('Range Analysis'!G28/2),0,1,TRUE()))</f>
        <v>0.10091640516088989</v>
      </c>
      <c r="H234">
        <f>NORMDIST($A$234,0,'Range Analysis'!$F$7,FALSE())*(NORMDIST((('Range Analysis'!$F$5-0.98*'Range Analysis'!G29)-$A$234)/('Range Analysis'!G29/2),0,1,TRUE())-NORMDIST((-('Range Analysis'!$F$5-0.98*'Range Analysis'!G29)-$A$234)/('Range Analysis'!G29/2),0,1,TRUE()))</f>
        <v>4.0034588954558602E-3</v>
      </c>
      <c r="I234">
        <f>NORMDIST($A$234,0,'Range Analysis'!$F$7,FALSE())*(NORMDIST((('Range Analysis'!$F$5-0.98*'Range Analysis'!G30)-$A$234)/('Range Analysis'!G30/2),0,1,TRUE())-NORMDIST((-('Range Analysis'!$F$5-0.98*'Range Analysis'!G30)-$A$234)/('Range Analysis'!G30/2),0,1,TRUE()))</f>
        <v>3.7165457407088149E-3</v>
      </c>
      <c r="J234">
        <f>NORMDIST($A$234,0,'Range Analysis'!$F$7,FALSE())*(NORMDIST((('Range Analysis'!$F$5-IF('Range Analysis'!H24&lt;=0,0,'Range Analysis'!G24*MAX(0,1.04-EXP(0.38*LN('Range Analysis'!H24)-0.54))))-$A$234)/('Range Analysis'!G24/2),0,1,TRUE())-NORMDIST((-('Range Analysis'!$F$5-IF('Range Analysis'!H24&lt;=0,0,'Range Analysis'!G24*MAX(0,1.04-EXP(0.38*LN('Range Analysis'!H24)-0.54))))-$A$234)/('Range Analysis'!G24/2),0,1,TRUE()))</f>
        <v>3.6368988222775366E-2</v>
      </c>
      <c r="K234">
        <f>NORMDIST($A$234,0,'Range Analysis'!$F$7,FALSE())*(NORMDIST((('Range Analysis'!$F$5-IF('Range Analysis'!H25&lt;=0,0,'Range Analysis'!G25*MAX(0,1.04-EXP(0.38*LN('Range Analysis'!H25)-0.54))))-$A$234)/('Range Analysis'!G25/2),0,1,TRUE())-NORMDIST((-('Range Analysis'!$F$5-IF('Range Analysis'!H25&lt;=0,0,'Range Analysis'!G25*MAX(0,1.04-EXP(0.38*LN('Range Analysis'!H25)-0.54))))-$A$234)/('Range Analysis'!G25/2),0,1,TRUE()))</f>
        <v>5.0776307457432869E-2</v>
      </c>
      <c r="L234">
        <f>NORMDIST($A$234,0,'Range Analysis'!$F$7,FALSE())*(NORMDIST((('Range Analysis'!$F$5-IF('Range Analysis'!H26&lt;=0,0,'Range Analysis'!G26*MAX(0,1.04-EXP(0.38*LN('Range Analysis'!H26)-0.54))))-$A$234)/('Range Analysis'!G26/2),0,1,TRUE())-NORMDIST((-('Range Analysis'!$F$5-IF('Range Analysis'!H26&lt;=0,0,'Range Analysis'!G26*MAX(0,1.04-EXP(0.38*LN('Range Analysis'!H26)-0.54))))-$A$234)/('Range Analysis'!G26/2),0,1,TRUE()))</f>
        <v>5.4660428146816334E-2</v>
      </c>
      <c r="M234">
        <f>NORMDIST($A$234,0,'Range Analysis'!$F$7,FALSE())*(NORMDIST((('Range Analysis'!$F$5-IF('Range Analysis'!H27&lt;=0,0,'Range Analysis'!G27*MAX(0,1.04-EXP(0.38*LN('Range Analysis'!H27)-0.54))))-$A$234)/('Range Analysis'!G27/2),0,1,TRUE())-NORMDIST((-('Range Analysis'!$F$5-IF('Range Analysis'!H27&lt;=0,0,'Range Analysis'!G27*MAX(0,1.04-EXP(0.38*LN('Range Analysis'!H27)-0.54))))-$A$234)/('Range Analysis'!G27/2),0,1,TRUE()))</f>
        <v>7.0287843683923532E-2</v>
      </c>
      <c r="N234">
        <f>NORMDIST($A$234,0,'Range Analysis'!$F$7,FALSE())*(NORMDIST((('Range Analysis'!$F$5-IF('Range Analysis'!H28&lt;=0,0,'Range Analysis'!G28*MAX(0,1.04-EXP(0.38*LN('Range Analysis'!H28)-0.54))))-$A$234)/('Range Analysis'!G28/2),0,1,TRUE())-NORMDIST((-('Range Analysis'!$F$5-IF('Range Analysis'!H28&lt;=0,0,'Range Analysis'!G28*MAX(0,1.04-EXP(0.38*LN('Range Analysis'!H28)-0.54))))-$A$234)/('Range Analysis'!G28/2),0,1,TRUE()))</f>
        <v>0.1009938442242958</v>
      </c>
      <c r="O234">
        <f>NORMDIST($A$234,0,'Range Analysis'!$F$7,FALSE())*(NORMDIST((('Range Analysis'!$F$5-IF('Range Analysis'!H29&lt;=0,0,'Range Analysis'!G29*MAX(0,1.04-EXP(0.38*LN('Range Analysis'!H29)-0.54))))-$A$234)/('Range Analysis'!G29/2),0,1,TRUE())-NORMDIST((-('Range Analysis'!$F$5-IF('Range Analysis'!H29&lt;=0,0,'Range Analysis'!G29*MAX(0,1.04-EXP(0.38*LN('Range Analysis'!H29)-0.54))))-$A$234)/('Range Analysis'!G29/2),0,1,TRUE()))</f>
        <v>3.6368988222775366E-2</v>
      </c>
      <c r="P234">
        <f>NORMDIST($A$234,0,'Range Analysis'!$F$7,FALSE())*(NORMDIST((('Range Analysis'!$F$5-IF('Range Analysis'!H30&lt;=0,0,'Range Analysis'!G30*MAX(0,1.04-EXP(0.38*LN('Range Analysis'!H30)-0.54))))-$A$234)/('Range Analysis'!G30/2),0,1,TRUE())-NORMDIST((-('Range Analysis'!$F$5-IF('Range Analysis'!H30&lt;=0,0,'Range Analysis'!G30*MAX(0,1.04-EXP(0.38*LN('Range Analysis'!H30)-0.54))))-$A$234)/('Range Analysis'!G30/2),0,1,TRUE()))</f>
        <v>3.1378551083812239E-2</v>
      </c>
      <c r="Q234">
        <f>NORMDIST($A$234,0,'Range Analysis'!$F$7,FALSE())*(NORMDIST(('Range Analysis'!$F$5-$A$234)/('Range Analysis'!G24/2),0,1,TRUE())-NORMDIST((-'Range Analysis'!$F$5-$A$234)/('Range Analysis'!G24/2),0,1,TRUE()))</f>
        <v>5.8704096452156483E-2</v>
      </c>
      <c r="R234">
        <f>NORMDIST($A$234,0,'Range Analysis'!$F$7,FALSE())*(NORMDIST(('Range Analysis'!$F$5-$A$234)/('Range Analysis'!G25/2),0,1,TRUE())-NORMDIST((-'Range Analysis'!$F$5-$A$234)/('Range Analysis'!G25/2),0,1,TRUE()))</f>
        <v>6.2820582262790678E-2</v>
      </c>
      <c r="S234">
        <f>NORMDIST($A$234,0,'Range Analysis'!$F$7,FALSE())*(NORMDIST(('Range Analysis'!$F$5-$A$234)/('Range Analysis'!G26/2),0,1,TRUE())-NORMDIST((-'Range Analysis'!$F$5-$A$234)/('Range Analysis'!G26/2),0,1,TRUE()))</f>
        <v>6.400784027885259E-2</v>
      </c>
      <c r="T234">
        <f>NORMDIST($A$234,0,'Range Analysis'!$F$7,FALSE())*(NORMDIST(('Range Analysis'!$F$5-$A$234)/('Range Analysis'!G27/2),0,1,TRUE())-NORMDIST((-'Range Analysis'!$F$5-$A$234)/('Range Analysis'!G27/2),0,1,TRUE()))</f>
        <v>7.0287843683923532E-2</v>
      </c>
      <c r="U234">
        <f>NORMDIST($A$234,0,'Range Analysis'!$F$7,FALSE())*(NORMDIST(('Range Analysis'!$F$5-$A$234)/('Range Analysis'!G28/2),0,1,TRUE())-NORMDIST((-'Range Analysis'!$F$5-$A$234)/('Range Analysis'!G28/2),0,1,TRUE()))</f>
        <v>0.1009938442242958</v>
      </c>
      <c r="V234">
        <f>NORMDIST($A$234,0,'Range Analysis'!$F$7,FALSE())*(NORMDIST(('Range Analysis'!$F$5-$A$234)/('Range Analysis'!G29/2),0,1,TRUE())-NORMDIST((-'Range Analysis'!$F$5-$A$234)/('Range Analysis'!G29/2),0,1,TRUE()))</f>
        <v>5.8704096452156483E-2</v>
      </c>
      <c r="W234">
        <f>NORMDIST($A$234,0,'Range Analysis'!$F$7,FALSE())*(NORMDIST((('Range Analysis'!$F$5-0)-$A$234)/('Range Analysis'!G30/2),0,1,TRUE())-NORMDIST((-('Range Analysis'!$F$5-0)-$A$234)/('Range Analysis'!G30/2),0,1,TRUE()))</f>
        <v>5.7350836848881599E-2</v>
      </c>
    </row>
    <row r="235" spans="1:23" ht="15" customHeight="1" x14ac:dyDescent="0.25">
      <c r="A235">
        <f>-'Range Analysis'!$F$5+2*$B$232</f>
        <v>-1.7948717948717949</v>
      </c>
      <c r="C235">
        <f>NORMDIST($A$235,0,'Range Analysis'!$F$7,FALSE())*(NORMDIST((('Range Analysis'!$F$5-0.98*'Range Analysis'!G24)-$A$235)/('Range Analysis'!G24/2),0,1,TRUE())-NORMDIST((-('Range Analysis'!$F$5-0.98*'Range Analysis'!G24)-$A$235)/('Range Analysis'!G24/2),0,1,TRUE()))</f>
        <v>6.9069931841903636E-3</v>
      </c>
      <c r="D235">
        <f>NORMDIST($A$235,0,'Range Analysis'!$F$7,FALSE())*(NORMDIST((('Range Analysis'!$F$5-0.98*'Range Analysis'!G25)-$A$235)/('Range Analysis'!G25/2),0,1,TRUE())-NORMDIST((-('Range Analysis'!$F$5-0.98*'Range Analysis'!G25)-$A$235)/('Range Analysis'!G25/2),0,1,TRUE()))</f>
        <v>1.0301320306408523E-2</v>
      </c>
      <c r="E235">
        <f>NORMDIST($A$235,0,'Range Analysis'!$F$7,FALSE())*(NORMDIST((('Range Analysis'!$F$5-0.98*'Range Analysis'!G26)-$A$235)/('Range Analysis'!G26/2),0,1,TRUE())-NORMDIST((-('Range Analysis'!$F$5-0.98*'Range Analysis'!G26)-$A$235)/('Range Analysis'!G26/2),0,1,TRUE()))</f>
        <v>1.1504010255175888E-2</v>
      </c>
      <c r="F235">
        <f>NORMDIST($A$235,0,'Range Analysis'!$F$7,FALSE())*(NORMDIST((('Range Analysis'!$F$5-0.98*'Range Analysis'!G27)-$A$235)/('Range Analysis'!G27/2),0,1,TRUE())-NORMDIST((-('Range Analysis'!$F$5-0.98*'Range Analysis'!G27)-$A$235)/('Range Analysis'!G27/2),0,1,TRUE()))</f>
        <v>1.9952202303007576E-2</v>
      </c>
      <c r="G235">
        <f>NORMDIST($A$235,0,'Range Analysis'!$F$7,FALSE())*(NORMDIST((('Range Analysis'!$F$5-0.98*'Range Analysis'!G28)-$A$235)/('Range Analysis'!G28/2),0,1,TRUE())-NORMDIST((-('Range Analysis'!$F$5-0.98*'Range Analysis'!G28)-$A$235)/('Range Analysis'!G28/2),0,1,TRUE()))</f>
        <v>0.11397391399257048</v>
      </c>
      <c r="H235">
        <f>NORMDIST($A$235,0,'Range Analysis'!$F$7,FALSE())*(NORMDIST((('Range Analysis'!$F$5-0.98*'Range Analysis'!G29)-$A$235)/('Range Analysis'!G29/2),0,1,TRUE())-NORMDIST((-('Range Analysis'!$F$5-0.98*'Range Analysis'!G29)-$A$235)/('Range Analysis'!G29/2),0,1,TRUE()))</f>
        <v>6.9069931841903636E-3</v>
      </c>
      <c r="I235">
        <f>NORMDIST($A$235,0,'Range Analysis'!$F$7,FALSE())*(NORMDIST((('Range Analysis'!$F$5-0.98*'Range Analysis'!G30)-$A$235)/('Range Analysis'!G30/2),0,1,TRUE())-NORMDIST((-('Range Analysis'!$F$5-0.98*'Range Analysis'!G30)-$A$235)/('Range Analysis'!G30/2),0,1,TRUE()))</f>
        <v>6.0191953646937619E-3</v>
      </c>
      <c r="J235">
        <f>NORMDIST($A$235,0,'Range Analysis'!$F$7,FALSE())*(NORMDIST((('Range Analysis'!$F$5-IF('Range Analysis'!H24&lt;=0,0,'Range Analysis'!G24*MAX(0,1.04-EXP(0.38*LN('Range Analysis'!H24)-0.54))))-$A$235)/('Range Analysis'!G24/2),0,1,TRUE())-NORMDIST((-('Range Analysis'!$F$5-IF('Range Analysis'!H24&lt;=0,0,'Range Analysis'!G24*MAX(0,1.04-EXP(0.38*LN('Range Analysis'!H24)-0.54))))-$A$235)/('Range Analysis'!G24/2),0,1,TRUE()))</f>
        <v>5.0055707539979358E-2</v>
      </c>
      <c r="K235">
        <f>NORMDIST($A$235,0,'Range Analysis'!$F$7,FALSE())*(NORMDIST((('Range Analysis'!$F$5-IF('Range Analysis'!H25&lt;=0,0,'Range Analysis'!G25*MAX(0,1.04-EXP(0.38*LN('Range Analysis'!H25)-0.54))))-$A$235)/('Range Analysis'!G25/2),0,1,TRUE())-NORMDIST((-('Range Analysis'!$F$5-IF('Range Analysis'!H25&lt;=0,0,'Range Analysis'!G25*MAX(0,1.04-EXP(0.38*LN('Range Analysis'!H25)-0.54))))-$A$235)/('Range Analysis'!G25/2),0,1,TRUE()))</f>
        <v>7.1194580351309697E-2</v>
      </c>
      <c r="L235">
        <f>NORMDIST($A$235,0,'Range Analysis'!$F$7,FALSE())*(NORMDIST((('Range Analysis'!$F$5-IF('Range Analysis'!H26&lt;=0,0,'Range Analysis'!G26*MAX(0,1.04-EXP(0.38*LN('Range Analysis'!H26)-0.54))))-$A$235)/('Range Analysis'!G26/2),0,1,TRUE())-NORMDIST((-('Range Analysis'!$F$5-IF('Range Analysis'!H26&lt;=0,0,'Range Analysis'!G26*MAX(0,1.04-EXP(0.38*LN('Range Analysis'!H26)-0.54))))-$A$235)/('Range Analysis'!G26/2),0,1,TRUE()))</f>
        <v>7.658877600667896E-2</v>
      </c>
      <c r="M235">
        <f>NORMDIST($A$235,0,'Range Analysis'!$F$7,FALSE())*(NORMDIST((('Range Analysis'!$F$5-IF('Range Analysis'!H27&lt;=0,0,'Range Analysis'!G27*MAX(0,1.04-EXP(0.38*LN('Range Analysis'!H27)-0.54))))-$A$235)/('Range Analysis'!G27/2),0,1,TRUE())-NORMDIST((-('Range Analysis'!$F$5-IF('Range Analysis'!H27&lt;=0,0,'Range Analysis'!G27*MAX(0,1.04-EXP(0.38*LN('Range Analysis'!H27)-0.54))))-$A$235)/('Range Analysis'!G27/2),0,1,TRUE()))</f>
        <v>9.6589426046776825E-2</v>
      </c>
      <c r="N235">
        <f>NORMDIST($A$235,0,'Range Analysis'!$F$7,FALSE())*(NORMDIST((('Range Analysis'!$F$5-IF('Range Analysis'!H28&lt;=0,0,'Range Analysis'!G28*MAX(0,1.04-EXP(0.38*LN('Range Analysis'!H28)-0.54))))-$A$235)/('Range Analysis'!G28/2),0,1,TRUE())-NORMDIST((-('Range Analysis'!$F$5-IF('Range Analysis'!H28&lt;=0,0,'Range Analysis'!G28*MAX(0,1.04-EXP(0.38*LN('Range Analysis'!H28)-0.54))))-$A$235)/('Range Analysis'!G28/2),0,1,TRUE()))</f>
        <v>0.11397391399257048</v>
      </c>
      <c r="O235">
        <f>NORMDIST($A$235,0,'Range Analysis'!$F$7,FALSE())*(NORMDIST((('Range Analysis'!$F$5-IF('Range Analysis'!H29&lt;=0,0,'Range Analysis'!G29*MAX(0,1.04-EXP(0.38*LN('Range Analysis'!H29)-0.54))))-$A$235)/('Range Analysis'!G29/2),0,1,TRUE())-NORMDIST((-('Range Analysis'!$F$5-IF('Range Analysis'!H29&lt;=0,0,'Range Analysis'!G29*MAX(0,1.04-EXP(0.38*LN('Range Analysis'!H29)-0.54))))-$A$235)/('Range Analysis'!G29/2),0,1,TRUE()))</f>
        <v>5.0055707539979358E-2</v>
      </c>
      <c r="P235">
        <f>NORMDIST($A$235,0,'Range Analysis'!$F$7,FALSE())*(NORMDIST((('Range Analysis'!$F$5-IF('Range Analysis'!H30&lt;=0,0,'Range Analysis'!G30*MAX(0,1.04-EXP(0.38*LN('Range Analysis'!H30)-0.54))))-$A$235)/('Range Analysis'!G30/2),0,1,TRUE())-NORMDIST((-('Range Analysis'!$F$5-IF('Range Analysis'!H30&lt;=0,0,'Range Analysis'!G30*MAX(0,1.04-EXP(0.38*LN('Range Analysis'!H30)-0.54))))-$A$235)/('Range Analysis'!G30/2),0,1,TRUE()))</f>
        <v>4.2554748720538563E-2</v>
      </c>
      <c r="Q235">
        <f>NORMDIST($A$235,0,'Range Analysis'!$F$7,FALSE())*(NORMDIST(('Range Analysis'!$F$5-$A$235)/('Range Analysis'!G24/2),0,1,TRUE())-NORMDIST((-'Range Analysis'!$F$5-$A$235)/('Range Analysis'!G24/2),0,1,TRUE()))</f>
        <v>7.5130586073338654E-2</v>
      </c>
      <c r="R235">
        <f>NORMDIST($A$235,0,'Range Analysis'!$F$7,FALSE())*(NORMDIST(('Range Analysis'!$F$5-$A$235)/('Range Analysis'!G25/2),0,1,TRUE())-NORMDIST((-'Range Analysis'!$F$5-$A$235)/('Range Analysis'!G25/2),0,1,TRUE()))</f>
        <v>8.3531224429454987E-2</v>
      </c>
      <c r="S235">
        <f>NORMDIST($A$235,0,'Range Analysis'!$F$7,FALSE())*(NORMDIST(('Range Analysis'!$F$5-$A$235)/('Range Analysis'!G26/2),0,1,TRUE())-NORMDIST((-'Range Analysis'!$F$5-$A$235)/('Range Analysis'!G26/2),0,1,TRUE()))</f>
        <v>8.581515995490091E-2</v>
      </c>
      <c r="T235">
        <f>NORMDIST($A$235,0,'Range Analysis'!$F$7,FALSE())*(NORMDIST(('Range Analysis'!$F$5-$A$235)/('Range Analysis'!G27/2),0,1,TRUE())-NORMDIST((-'Range Analysis'!$F$5-$A$235)/('Range Analysis'!G27/2),0,1,TRUE()))</f>
        <v>9.6589426046776825E-2</v>
      </c>
      <c r="U235">
        <f>NORMDIST($A$235,0,'Range Analysis'!$F$7,FALSE())*(NORMDIST(('Range Analysis'!$F$5-$A$235)/('Range Analysis'!G28/2),0,1,TRUE())-NORMDIST((-'Range Analysis'!$F$5-$A$235)/('Range Analysis'!G28/2),0,1,TRUE()))</f>
        <v>0.11397391399257048</v>
      </c>
      <c r="V235">
        <f>NORMDIST($A$235,0,'Range Analysis'!$F$7,FALSE())*(NORMDIST(('Range Analysis'!$F$5-$A$235)/('Range Analysis'!G29/2),0,1,TRUE())-NORMDIST((-'Range Analysis'!$F$5-$A$235)/('Range Analysis'!G29/2),0,1,TRUE()))</f>
        <v>7.5130586073338654E-2</v>
      </c>
      <c r="W235">
        <f>NORMDIST($A$235,0,'Range Analysis'!$F$7,FALSE())*(NORMDIST((('Range Analysis'!$F$5-0)-$A$235)/('Range Analysis'!G30/2),0,1,TRUE())-NORMDIST((-('Range Analysis'!$F$5-0)-$A$235)/('Range Analysis'!G30/2),0,1,TRUE()))</f>
        <v>7.2234333393033603E-2</v>
      </c>
    </row>
    <row r="236" spans="1:23" ht="15" customHeight="1" x14ac:dyDescent="0.25">
      <c r="A236">
        <f>-'Range Analysis'!$F$5+3*$B$232</f>
        <v>-1.6923076923076923</v>
      </c>
      <c r="C236">
        <f>NORMDIST($A$236,0,'Range Analysis'!$F$7,FALSE())*(NORMDIST((('Range Analysis'!$F$5-0.98*'Range Analysis'!G24)-$A$236)/('Range Analysis'!G24/2),0,1,TRUE())-NORMDIST((-('Range Analysis'!$F$5-0.98*'Range Analysis'!G24)-$A$236)/('Range Analysis'!G24/2),0,1,TRUE()))</f>
        <v>1.1418612648853979E-2</v>
      </c>
      <c r="D236">
        <f>NORMDIST($A$236,0,'Range Analysis'!$F$7,FALSE())*(NORMDIST((('Range Analysis'!$F$5-0.98*'Range Analysis'!G25)-$A$236)/('Range Analysis'!G25/2),0,1,TRUE())-NORMDIST((-('Range Analysis'!$F$5-0.98*'Range Analysis'!G25)-$A$236)/('Range Analysis'!G25/2),0,1,TRUE()))</f>
        <v>1.9428535257509347E-2</v>
      </c>
      <c r="E236">
        <f>NORMDIST($A$236,0,'Range Analysis'!$F$7,FALSE())*(NORMDIST((('Range Analysis'!$F$5-0.98*'Range Analysis'!G26)-$A$236)/('Range Analysis'!G26/2),0,1,TRUE())-NORMDIST((-('Range Analysis'!$F$5-0.98*'Range Analysis'!G26)-$A$236)/('Range Analysis'!G26/2),0,1,TRUE()))</f>
        <v>2.2365781900550465E-2</v>
      </c>
      <c r="F236">
        <f>NORMDIST($A$236,0,'Range Analysis'!$F$7,FALSE())*(NORMDIST((('Range Analysis'!$F$5-0.98*'Range Analysis'!G27)-$A$236)/('Range Analysis'!G27/2),0,1,TRUE())-NORMDIST((-('Range Analysis'!$F$5-0.98*'Range Analysis'!G27)-$A$236)/('Range Analysis'!G27/2),0,1,TRUE()))</f>
        <v>4.3014737131324386E-2</v>
      </c>
      <c r="G236">
        <f>NORMDIST($A$236,0,'Range Analysis'!$F$7,FALSE())*(NORMDIST((('Range Analysis'!$F$5-0.98*'Range Analysis'!G28)-$A$236)/('Range Analysis'!G28/2),0,1,TRUE())-NORMDIST((-('Range Analysis'!$F$5-0.98*'Range Analysis'!G28)-$A$236)/('Range Analysis'!G28/2),0,1,TRUE()))</f>
        <v>0.12776111949935859</v>
      </c>
      <c r="H236">
        <f>NORMDIST($A$236,0,'Range Analysis'!$F$7,FALSE())*(NORMDIST((('Range Analysis'!$F$5-0.98*'Range Analysis'!G29)-$A$236)/('Range Analysis'!G29/2),0,1,TRUE())-NORMDIST((-('Range Analysis'!$F$5-0.98*'Range Analysis'!G29)-$A$236)/('Range Analysis'!G29/2),0,1,TRUE()))</f>
        <v>1.1418612648853979E-2</v>
      </c>
      <c r="I236">
        <f>NORMDIST($A$236,0,'Range Analysis'!$F$7,FALSE())*(NORMDIST((('Range Analysis'!$F$5-0.98*'Range Analysis'!G30)-$A$236)/('Range Analysis'!G30/2),0,1,TRUE())-NORMDIST((-('Range Analysis'!$F$5-0.98*'Range Analysis'!G30)-$A$236)/('Range Analysis'!G30/2),0,1,TRUE()))</f>
        <v>9.4427753918999244E-3</v>
      </c>
      <c r="J236">
        <f>NORMDIST($A$236,0,'Range Analysis'!$F$7,FALSE())*(NORMDIST((('Range Analysis'!$F$5-IF('Range Analysis'!H24&lt;=0,0,'Range Analysis'!G24*MAX(0,1.04-EXP(0.38*LN('Range Analysis'!H24)-0.54))))-$A$236)/('Range Analysis'!G24/2),0,1,TRUE())-NORMDIST((-('Range Analysis'!$F$5-IF('Range Analysis'!H24&lt;=0,0,'Range Analysis'!G24*MAX(0,1.04-EXP(0.38*LN('Range Analysis'!H24)-0.54))))-$A$236)/('Range Analysis'!G24/2),0,1,TRUE()))</f>
        <v>6.6534554626393183E-2</v>
      </c>
      <c r="K236">
        <f>NORMDIST($A$236,0,'Range Analysis'!$F$7,FALSE())*(NORMDIST((('Range Analysis'!$F$5-IF('Range Analysis'!H25&lt;=0,0,'Range Analysis'!G25*MAX(0,1.04-EXP(0.38*LN('Range Analysis'!H25)-0.54))))-$A$236)/('Range Analysis'!G25/2),0,1,TRUE())-NORMDIST((-('Range Analysis'!$F$5-IF('Range Analysis'!H25&lt;=0,0,'Range Analysis'!G25*MAX(0,1.04-EXP(0.38*LN('Range Analysis'!H25)-0.54))))-$A$236)/('Range Analysis'!G25/2),0,1,TRUE()))</f>
        <v>9.3926544466665124E-2</v>
      </c>
      <c r="L236">
        <f>NORMDIST($A$236,0,'Range Analysis'!$F$7,FALSE())*(NORMDIST((('Range Analysis'!$F$5-IF('Range Analysis'!H26&lt;=0,0,'Range Analysis'!G26*MAX(0,1.04-EXP(0.38*LN('Range Analysis'!H26)-0.54))))-$A$236)/('Range Analysis'!G26/2),0,1,TRUE())-NORMDIST((-('Range Analysis'!$F$5-IF('Range Analysis'!H26&lt;=0,0,'Range Analysis'!G26*MAX(0,1.04-EXP(0.38*LN('Range Analysis'!H26)-0.54))))-$A$236)/('Range Analysis'!G26/2),0,1,TRUE()))</f>
        <v>0.10022112557786038</v>
      </c>
      <c r="M236">
        <f>NORMDIST($A$236,0,'Range Analysis'!$F$7,FALSE())*(NORMDIST((('Range Analysis'!$F$5-IF('Range Analysis'!H27&lt;=0,0,'Range Analysis'!G27*MAX(0,1.04-EXP(0.38*LN('Range Analysis'!H27)-0.54))))-$A$236)/('Range Analysis'!G27/2),0,1,TRUE())-NORMDIST((-('Range Analysis'!$F$5-IF('Range Analysis'!H27&lt;=0,0,'Range Analysis'!G27*MAX(0,1.04-EXP(0.38*LN('Range Analysis'!H27)-0.54))))-$A$236)/('Range Analysis'!G27/2),0,1,TRUE()))</f>
        <v>0.11984403085995632</v>
      </c>
      <c r="N236">
        <f>NORMDIST($A$236,0,'Range Analysis'!$F$7,FALSE())*(NORMDIST((('Range Analysis'!$F$5-IF('Range Analysis'!H28&lt;=0,0,'Range Analysis'!G28*MAX(0,1.04-EXP(0.38*LN('Range Analysis'!H28)-0.54))))-$A$236)/('Range Analysis'!G28/2),0,1,TRUE())-NORMDIST((-('Range Analysis'!$F$5-IF('Range Analysis'!H28&lt;=0,0,'Range Analysis'!G28*MAX(0,1.04-EXP(0.38*LN('Range Analysis'!H28)-0.54))))-$A$236)/('Range Analysis'!G28/2),0,1,TRUE()))</f>
        <v>0.12776111949935859</v>
      </c>
      <c r="O236">
        <f>NORMDIST($A$236,0,'Range Analysis'!$F$7,FALSE())*(NORMDIST((('Range Analysis'!$F$5-IF('Range Analysis'!H29&lt;=0,0,'Range Analysis'!G29*MAX(0,1.04-EXP(0.38*LN('Range Analysis'!H29)-0.54))))-$A$236)/('Range Analysis'!G29/2),0,1,TRUE())-NORMDIST((-('Range Analysis'!$F$5-IF('Range Analysis'!H29&lt;=0,0,'Range Analysis'!G29*MAX(0,1.04-EXP(0.38*LN('Range Analysis'!H29)-0.54))))-$A$236)/('Range Analysis'!G29/2),0,1,TRUE()))</f>
        <v>6.6534554626393183E-2</v>
      </c>
      <c r="P236">
        <f>NORMDIST($A$236,0,'Range Analysis'!$F$7,FALSE())*(NORMDIST((('Range Analysis'!$F$5-IF('Range Analysis'!H30&lt;=0,0,'Range Analysis'!G30*MAX(0,1.04-EXP(0.38*LN('Range Analysis'!H30)-0.54))))-$A$236)/('Range Analysis'!G30/2),0,1,TRUE())-NORMDIST((-('Range Analysis'!$F$5-IF('Range Analysis'!H30&lt;=0,0,'Range Analysis'!G30*MAX(0,1.04-EXP(0.38*LN('Range Analysis'!H30)-0.54))))-$A$236)/('Range Analysis'!G30/2),0,1,TRUE()))</f>
        <v>5.6163275309942702E-2</v>
      </c>
      <c r="Q236">
        <f>NORMDIST($A$236,0,'Range Analysis'!$F$7,FALSE())*(NORMDIST(('Range Analysis'!$F$5-$A$236)/('Range Analysis'!G24/2),0,1,TRUE())-NORMDIST((-'Range Analysis'!$F$5-$A$236)/('Range Analysis'!G24/2),0,1,TRUE()))</f>
        <v>9.3374166338361181E-2</v>
      </c>
      <c r="R236">
        <f>NORMDIST($A$236,0,'Range Analysis'!$F$7,FALSE())*(NORMDIST(('Range Analysis'!$F$5-$A$236)/('Range Analysis'!G25/2),0,1,TRUE())-NORMDIST((-'Range Analysis'!$F$5-$A$236)/('Range Analysis'!G25/2),0,1,TRUE()))</f>
        <v>0.10533077923907171</v>
      </c>
      <c r="S236">
        <f>NORMDIST($A$236,0,'Range Analysis'!$F$7,FALSE())*(NORMDIST(('Range Analysis'!$F$5-$A$236)/('Range Analysis'!G26/2),0,1,TRUE())-NORMDIST((-'Range Analysis'!$F$5-$A$236)/('Range Analysis'!G26/2),0,1,TRUE()))</f>
        <v>0.10827366343092451</v>
      </c>
      <c r="T236">
        <f>NORMDIST($A$236,0,'Range Analysis'!$F$7,FALSE())*(NORMDIST(('Range Analysis'!$F$5-$A$236)/('Range Analysis'!G27/2),0,1,TRUE())-NORMDIST((-'Range Analysis'!$F$5-$A$236)/('Range Analysis'!G27/2),0,1,TRUE()))</f>
        <v>0.11984403085995632</v>
      </c>
      <c r="U236">
        <f>NORMDIST($A$236,0,'Range Analysis'!$F$7,FALSE())*(NORMDIST(('Range Analysis'!$F$5-$A$236)/('Range Analysis'!G28/2),0,1,TRUE())-NORMDIST((-'Range Analysis'!$F$5-$A$236)/('Range Analysis'!G28/2),0,1,TRUE()))</f>
        <v>0.12776111949935859</v>
      </c>
      <c r="V236">
        <f>NORMDIST($A$236,0,'Range Analysis'!$F$7,FALSE())*(NORMDIST(('Range Analysis'!$F$5-$A$236)/('Range Analysis'!G29/2),0,1,TRUE())-NORMDIST((-'Range Analysis'!$F$5-$A$236)/('Range Analysis'!G29/2),0,1,TRUE()))</f>
        <v>9.3374166338361181E-2</v>
      </c>
      <c r="W236">
        <f>NORMDIST($A$236,0,'Range Analysis'!$F$7,FALSE())*(NORMDIST((('Range Analysis'!$F$5-0)-$A$236)/('Range Analysis'!G30/2),0,1,TRUE())-NORMDIST((-('Range Analysis'!$F$5-0)-$A$236)/('Range Analysis'!G30/2),0,1,TRUE()))</f>
        <v>8.8916828019926841E-2</v>
      </c>
    </row>
    <row r="237" spans="1:23" ht="15" customHeight="1" x14ac:dyDescent="0.25">
      <c r="A237">
        <f>-'Range Analysis'!$F$5+4*$B$232</f>
        <v>-1.5897435897435899</v>
      </c>
      <c r="C237">
        <f>NORMDIST($A$237,0,'Range Analysis'!$F$7,FALSE())*(NORMDIST((('Range Analysis'!$F$5-0.98*'Range Analysis'!G24)-$A$237)/('Range Analysis'!G24/2),0,1,TRUE())-NORMDIST((-('Range Analysis'!$F$5-0.98*'Range Analysis'!G24)-$A$237)/('Range Analysis'!G24/2),0,1,TRUE()))</f>
        <v>1.8102235525274506E-2</v>
      </c>
      <c r="D237">
        <f>NORMDIST($A$237,0,'Range Analysis'!$F$7,FALSE())*(NORMDIST((('Range Analysis'!$F$5-0.98*'Range Analysis'!G25)-$A$237)/('Range Analysis'!G25/2),0,1,TRUE())-NORMDIST((-('Range Analysis'!$F$5-0.98*'Range Analysis'!G25)-$A$237)/('Range Analysis'!G25/2),0,1,TRUE()))</f>
        <v>3.3679304457943746E-2</v>
      </c>
      <c r="E237">
        <f>NORMDIST($A$237,0,'Range Analysis'!$F$7,FALSE())*(NORMDIST((('Range Analysis'!$F$5-0.98*'Range Analysis'!G26)-$A$237)/('Range Analysis'!G26/2),0,1,TRUE())-NORMDIST((-('Range Analysis'!$F$5-0.98*'Range Analysis'!G26)-$A$237)/('Range Analysis'!G26/2),0,1,TRUE()))</f>
        <v>3.9371863503901386E-2</v>
      </c>
      <c r="F237">
        <f>NORMDIST($A$237,0,'Range Analysis'!$F$7,FALSE())*(NORMDIST((('Range Analysis'!$F$5-0.98*'Range Analysis'!G27)-$A$237)/('Range Analysis'!G27/2),0,1,TRUE())-NORMDIST((-('Range Analysis'!$F$5-0.98*'Range Analysis'!G27)-$A$237)/('Range Analysis'!G27/2),0,1,TRUE()))</f>
        <v>7.6301970017751894E-2</v>
      </c>
      <c r="G237">
        <f>NORMDIST($A$237,0,'Range Analysis'!$F$7,FALSE())*(NORMDIST((('Range Analysis'!$F$5-0.98*'Range Analysis'!G28)-$A$237)/('Range Analysis'!G28/2),0,1,TRUE())-NORMDIST((-('Range Analysis'!$F$5-0.98*'Range Analysis'!G28)-$A$237)/('Range Analysis'!G28/2),0,1,TRUE()))</f>
        <v>0.14225734688609076</v>
      </c>
      <c r="H237">
        <f>NORMDIST($A$237,0,'Range Analysis'!$F$7,FALSE())*(NORMDIST((('Range Analysis'!$F$5-0.98*'Range Analysis'!G29)-$A$237)/('Range Analysis'!G29/2),0,1,TRUE())-NORMDIST((-('Range Analysis'!$F$5-0.98*'Range Analysis'!G29)-$A$237)/('Range Analysis'!G29/2),0,1,TRUE()))</f>
        <v>1.8102235525274506E-2</v>
      </c>
      <c r="I237">
        <f>NORMDIST($A$237,0,'Range Analysis'!$F$7,FALSE())*(NORMDIST((('Range Analysis'!$F$5-0.98*'Range Analysis'!G30)-$A$237)/('Range Analysis'!G30/2),0,1,TRUE())-NORMDIST((-('Range Analysis'!$F$5-0.98*'Range Analysis'!G30)-$A$237)/('Range Analysis'!G30/2),0,1,TRUE()))</f>
        <v>1.435472297524152E-2</v>
      </c>
      <c r="J237">
        <f>NORMDIST($A$237,0,'Range Analysis'!$F$7,FALSE())*(NORMDIST((('Range Analysis'!$F$5-IF('Range Analysis'!H24&lt;=0,0,'Range Analysis'!G24*MAX(0,1.04-EXP(0.38*LN('Range Analysis'!H24)-0.54))))-$A$237)/('Range Analysis'!G24/2),0,1,TRUE())-NORMDIST((-('Range Analysis'!$F$5-IF('Range Analysis'!H24&lt;=0,0,'Range Analysis'!G24*MAX(0,1.04-EXP(0.38*LN('Range Analysis'!H24)-0.54))))-$A$237)/('Range Analysis'!G24/2),0,1,TRUE()))</f>
        <v>8.5567278905480118E-2</v>
      </c>
      <c r="K237">
        <f>NORMDIST($A$237,0,'Range Analysis'!$F$7,FALSE())*(NORMDIST((('Range Analysis'!$F$5-IF('Range Analysis'!H25&lt;=0,0,'Range Analysis'!G25*MAX(0,1.04-EXP(0.38*LN('Range Analysis'!H25)-0.54))))-$A$237)/('Range Analysis'!G25/2),0,1,TRUE())-NORMDIST((-('Range Analysis'!$F$5-IF('Range Analysis'!H25&lt;=0,0,'Range Analysis'!G25*MAX(0,1.04-EXP(0.38*LN('Range Analysis'!H25)-0.54))))-$A$237)/('Range Analysis'!G25/2),0,1,TRUE()))</f>
        <v>0.11753595380770981</v>
      </c>
      <c r="L237">
        <f>NORMDIST($A$237,0,'Range Analysis'!$F$7,FALSE())*(NORMDIST((('Range Analysis'!$F$5-IF('Range Analysis'!H26&lt;=0,0,'Range Analysis'!G26*MAX(0,1.04-EXP(0.38*LN('Range Analysis'!H26)-0.54))))-$A$237)/('Range Analysis'!G26/2),0,1,TRUE())-NORMDIST((-('Range Analysis'!$F$5-IF('Range Analysis'!H26&lt;=0,0,'Range Analysis'!G26*MAX(0,1.04-EXP(0.38*LN('Range Analysis'!H26)-0.54))))-$A$237)/('Range Analysis'!G26/2),0,1,TRUE()))</f>
        <v>0.12384714916978122</v>
      </c>
      <c r="M237">
        <f>NORMDIST($A$237,0,'Range Analysis'!$F$7,FALSE())*(NORMDIST((('Range Analysis'!$F$5-IF('Range Analysis'!H27&lt;=0,0,'Range Analysis'!G27*MAX(0,1.04-EXP(0.38*LN('Range Analysis'!H27)-0.54))))-$A$237)/('Range Analysis'!G27/2),0,1,TRUE())-NORMDIST((-('Range Analysis'!$F$5-IF('Range Analysis'!H27&lt;=0,0,'Range Analysis'!G27*MAX(0,1.04-EXP(0.38*LN('Range Analysis'!H27)-0.54))))-$A$237)/('Range Analysis'!G27/2),0,1,TRUE()))</f>
        <v>0.13939516552970946</v>
      </c>
      <c r="N237">
        <f>NORMDIST($A$237,0,'Range Analysis'!$F$7,FALSE())*(NORMDIST((('Range Analysis'!$F$5-IF('Range Analysis'!H28&lt;=0,0,'Range Analysis'!G28*MAX(0,1.04-EXP(0.38*LN('Range Analysis'!H28)-0.54))))-$A$237)/('Range Analysis'!G28/2),0,1,TRUE())-NORMDIST((-('Range Analysis'!$F$5-IF('Range Analysis'!H28&lt;=0,0,'Range Analysis'!G28*MAX(0,1.04-EXP(0.38*LN('Range Analysis'!H28)-0.54))))-$A$237)/('Range Analysis'!G28/2),0,1,TRUE()))</f>
        <v>0.14225734688609076</v>
      </c>
      <c r="O237">
        <f>NORMDIST($A$237,0,'Range Analysis'!$F$7,FALSE())*(NORMDIST((('Range Analysis'!$F$5-IF('Range Analysis'!H29&lt;=0,0,'Range Analysis'!G29*MAX(0,1.04-EXP(0.38*LN('Range Analysis'!H29)-0.54))))-$A$237)/('Range Analysis'!G29/2),0,1,TRUE())-NORMDIST((-('Range Analysis'!$F$5-IF('Range Analysis'!H29&lt;=0,0,'Range Analysis'!G29*MAX(0,1.04-EXP(0.38*LN('Range Analysis'!H29)-0.54))))-$A$237)/('Range Analysis'!G29/2),0,1,TRUE()))</f>
        <v>8.5567278905480118E-2</v>
      </c>
      <c r="P237">
        <f>NORMDIST($A$237,0,'Range Analysis'!$F$7,FALSE())*(NORMDIST((('Range Analysis'!$F$5-IF('Range Analysis'!H30&lt;=0,0,'Range Analysis'!G30*MAX(0,1.04-EXP(0.38*LN('Range Analysis'!H30)-0.54))))-$A$237)/('Range Analysis'!G30/2),0,1,TRUE())-NORMDIST((-('Range Analysis'!$F$5-IF('Range Analysis'!H30&lt;=0,0,'Range Analysis'!G30*MAX(0,1.04-EXP(0.38*LN('Range Analysis'!H30)-0.54))))-$A$237)/('Range Analysis'!G30/2),0,1,TRUE()))</f>
        <v>7.2203868457286033E-2</v>
      </c>
      <c r="Q237">
        <f>NORMDIST($A$237,0,'Range Analysis'!$F$7,FALSE())*(NORMDIST(('Range Analysis'!$F$5-$A$237)/('Range Analysis'!G24/2),0,1,TRUE())-NORMDIST((-'Range Analysis'!$F$5-$A$237)/('Range Analysis'!G24/2),0,1,TRUE()))</f>
        <v>0.11295775174950672</v>
      </c>
      <c r="R237">
        <f>NORMDIST($A$237,0,'Range Analysis'!$F$7,FALSE())*(NORMDIST(('Range Analysis'!$F$5-$A$237)/('Range Analysis'!G25/2),0,1,TRUE())-NORMDIST((-'Range Analysis'!$F$5-$A$237)/('Range Analysis'!G25/2),0,1,TRUE()))</f>
        <v>0.12705048570167607</v>
      </c>
      <c r="S237">
        <f>NORMDIST($A$237,0,'Range Analysis'!$F$7,FALSE())*(NORMDIST(('Range Analysis'!$F$5-$A$237)/('Range Analysis'!G26/2),0,1,TRUE())-NORMDIST((-'Range Analysis'!$F$5-$A$237)/('Range Analysis'!G26/2),0,1,TRUE()))</f>
        <v>0.13006148623294303</v>
      </c>
      <c r="T237">
        <f>NORMDIST($A$237,0,'Range Analysis'!$F$7,FALSE())*(NORMDIST(('Range Analysis'!$F$5-$A$237)/('Range Analysis'!G27/2),0,1,TRUE())-NORMDIST((-'Range Analysis'!$F$5-$A$237)/('Range Analysis'!G27/2),0,1,TRUE()))</f>
        <v>0.13939516552970946</v>
      </c>
      <c r="U237">
        <f>NORMDIST($A$237,0,'Range Analysis'!$F$7,FALSE())*(NORMDIST(('Range Analysis'!$F$5-$A$237)/('Range Analysis'!G28/2),0,1,TRUE())-NORMDIST((-'Range Analysis'!$F$5-$A$237)/('Range Analysis'!G28/2),0,1,TRUE()))</f>
        <v>0.14225734688609076</v>
      </c>
      <c r="V237">
        <f>NORMDIST($A$237,0,'Range Analysis'!$F$7,FALSE())*(NORMDIST(('Range Analysis'!$F$5-$A$237)/('Range Analysis'!G29/2),0,1,TRUE())-NORMDIST((-'Range Analysis'!$F$5-$A$237)/('Range Analysis'!G29/2),0,1,TRUE()))</f>
        <v>0.11295775174950672</v>
      </c>
      <c r="W237">
        <f>NORMDIST($A$237,0,'Range Analysis'!$F$7,FALSE())*(NORMDIST((('Range Analysis'!$F$5-0)-$A$237)/('Range Analysis'!G30/2),0,1,TRUE())-NORMDIST((-('Range Analysis'!$F$5-0)-$A$237)/('Range Analysis'!G30/2),0,1,TRUE()))</f>
        <v>0.10711079871150213</v>
      </c>
    </row>
    <row r="238" spans="1:23" ht="15" customHeight="1" x14ac:dyDescent="0.25">
      <c r="A238">
        <f>-'Range Analysis'!$F$5+5*$B$232</f>
        <v>-1.4871794871794872</v>
      </c>
      <c r="C238">
        <f>NORMDIST($A$238,0,'Range Analysis'!$F$7,FALSE())*(NORMDIST((('Range Analysis'!$F$5-0.98*'Range Analysis'!G24)-$A$238)/('Range Analysis'!G24/2),0,1,TRUE())-NORMDIST((-('Range Analysis'!$F$5-0.98*'Range Analysis'!G24)-$A$238)/('Range Analysis'!G24/2),0,1,TRUE()))</f>
        <v>2.7543439251784329E-2</v>
      </c>
      <c r="D238">
        <f>NORMDIST($A$238,0,'Range Analysis'!$F$7,FALSE())*(NORMDIST((('Range Analysis'!$F$5-0.98*'Range Analysis'!G25)-$A$238)/('Range Analysis'!G25/2),0,1,TRUE())-NORMDIST((-('Range Analysis'!$F$5-0.98*'Range Analysis'!G25)-$A$238)/('Range Analysis'!G25/2),0,1,TRUE()))</f>
        <v>5.3868083860112902E-2</v>
      </c>
      <c r="E238">
        <f>NORMDIST($A$238,0,'Range Analysis'!$F$7,FALSE())*(NORMDIST((('Range Analysis'!$F$5-0.98*'Range Analysis'!G26)-$A$238)/('Range Analysis'!G26/2),0,1,TRUE())-NORMDIST((-('Range Analysis'!$F$5-0.98*'Range Analysis'!G26)-$A$238)/('Range Analysis'!G26/2),0,1,TRUE()))</f>
        <v>6.3102322996766241E-2</v>
      </c>
      <c r="F238">
        <f>NORMDIST($A$238,0,'Range Analysis'!$F$7,FALSE())*(NORMDIST((('Range Analysis'!$F$5-0.98*'Range Analysis'!G27)-$A$238)/('Range Analysis'!G27/2),0,1,TRUE())-NORMDIST((-('Range Analysis'!$F$5-0.98*'Range Analysis'!G27)-$A$238)/('Range Analysis'!G27/2),0,1,TRUE()))</f>
        <v>0.11440234486899398</v>
      </c>
      <c r="G238">
        <f>NORMDIST($A$238,0,'Range Analysis'!$F$7,FALSE())*(NORMDIST((('Range Analysis'!$F$5-0.98*'Range Analysis'!G28)-$A$238)/('Range Analysis'!G28/2),0,1,TRUE())-NORMDIST((-('Range Analysis'!$F$5-0.98*'Range Analysis'!G28)-$A$238)/('Range Analysis'!G28/2),0,1,TRUE()))</f>
        <v>0.15733793691737982</v>
      </c>
      <c r="H238">
        <f>NORMDIST($A$238,0,'Range Analysis'!$F$7,FALSE())*(NORMDIST((('Range Analysis'!$F$5-0.98*'Range Analysis'!G29)-$A$238)/('Range Analysis'!G29/2),0,1,TRUE())-NORMDIST((-('Range Analysis'!$F$5-0.98*'Range Analysis'!G29)-$A$238)/('Range Analysis'!G29/2),0,1,TRUE()))</f>
        <v>2.7543439251784329E-2</v>
      </c>
      <c r="I238">
        <f>NORMDIST($A$238,0,'Range Analysis'!$F$7,FALSE())*(NORMDIST((('Range Analysis'!$F$5-0.98*'Range Analysis'!G30)-$A$238)/('Range Analysis'!G30/2),0,1,TRUE())-NORMDIST((-('Range Analysis'!$F$5-0.98*'Range Analysis'!G30)-$A$238)/('Range Analysis'!G30/2),0,1,TRUE()))</f>
        <v>2.1155093743624325E-2</v>
      </c>
      <c r="J238">
        <f>NORMDIST($A$238,0,'Range Analysis'!$F$7,FALSE())*(NORMDIST((('Range Analysis'!$F$5-IF('Range Analysis'!H24&lt;=0,0,'Range Analysis'!G24*MAX(0,1.04-EXP(0.38*LN('Range Analysis'!H24)-0.54))))-$A$238)/('Range Analysis'!G24/2),0,1,TRUE())-NORMDIST((-('Range Analysis'!$F$5-IF('Range Analysis'!H24&lt;=0,0,'Range Analysis'!G24*MAX(0,1.04-EXP(0.38*LN('Range Analysis'!H24)-0.54))))-$A$238)/('Range Analysis'!G24/2),0,1,TRUE()))</f>
        <v>0.10668849058901171</v>
      </c>
      <c r="K238">
        <f>NORMDIST($A$238,0,'Range Analysis'!$F$7,FALSE())*(NORMDIST((('Range Analysis'!$F$5-IF('Range Analysis'!H25&lt;=0,0,'Range Analysis'!G25*MAX(0,1.04-EXP(0.38*LN('Range Analysis'!H25)-0.54))))-$A$238)/('Range Analysis'!G25/2),0,1,TRUE())-NORMDIST((-('Range Analysis'!$F$5-IF('Range Analysis'!H25&lt;=0,0,'Range Analysis'!G25*MAX(0,1.04-EXP(0.38*LN('Range Analysis'!H25)-0.54))))-$A$238)/('Range Analysis'!G25/2),0,1,TRUE()))</f>
        <v>0.14071910883070626</v>
      </c>
      <c r="L238">
        <f>NORMDIST($A$238,0,'Range Analysis'!$F$7,FALSE())*(NORMDIST((('Range Analysis'!$F$5-IF('Range Analysis'!H26&lt;=0,0,'Range Analysis'!G26*MAX(0,1.04-EXP(0.38*LN('Range Analysis'!H26)-0.54))))-$A$238)/('Range Analysis'!G26/2),0,1,TRUE())-NORMDIST((-('Range Analysis'!$F$5-IF('Range Analysis'!H26&lt;=0,0,'Range Analysis'!G26*MAX(0,1.04-EXP(0.38*LN('Range Analysis'!H26)-0.54))))-$A$238)/('Range Analysis'!G26/2),0,1,TRUE()))</f>
        <v>0.14622361223155061</v>
      </c>
      <c r="M238">
        <f>NORMDIST($A$238,0,'Range Analysis'!$F$7,FALSE())*(NORMDIST((('Range Analysis'!$F$5-IF('Range Analysis'!H27&lt;=0,0,'Range Analysis'!G27*MAX(0,1.04-EXP(0.38*LN('Range Analysis'!H27)-0.54))))-$A$238)/('Range Analysis'!G27/2),0,1,TRUE())-NORMDIST((-('Range Analysis'!$F$5-IF('Range Analysis'!H27&lt;=0,0,'Range Analysis'!G27*MAX(0,1.04-EXP(0.38*LN('Range Analysis'!H27)-0.54))))-$A$238)/('Range Analysis'!G27/2),0,1,TRUE()))</f>
        <v>0.15652416172698985</v>
      </c>
      <c r="N238">
        <f>NORMDIST($A$238,0,'Range Analysis'!$F$7,FALSE())*(NORMDIST((('Range Analysis'!$F$5-IF('Range Analysis'!H28&lt;=0,0,'Range Analysis'!G28*MAX(0,1.04-EXP(0.38*LN('Range Analysis'!H28)-0.54))))-$A$238)/('Range Analysis'!G28/2),0,1,TRUE())-NORMDIST((-('Range Analysis'!$F$5-IF('Range Analysis'!H28&lt;=0,0,'Range Analysis'!G28*MAX(0,1.04-EXP(0.38*LN('Range Analysis'!H28)-0.54))))-$A$238)/('Range Analysis'!G28/2),0,1,TRUE()))</f>
        <v>0.15733793691737982</v>
      </c>
      <c r="O238">
        <f>NORMDIST($A$238,0,'Range Analysis'!$F$7,FALSE())*(NORMDIST((('Range Analysis'!$F$5-IF('Range Analysis'!H29&lt;=0,0,'Range Analysis'!G29*MAX(0,1.04-EXP(0.38*LN('Range Analysis'!H29)-0.54))))-$A$238)/('Range Analysis'!G29/2),0,1,TRUE())-NORMDIST((-('Range Analysis'!$F$5-IF('Range Analysis'!H29&lt;=0,0,'Range Analysis'!G29*MAX(0,1.04-EXP(0.38*LN('Range Analysis'!H29)-0.54))))-$A$238)/('Range Analysis'!G29/2),0,1,TRUE()))</f>
        <v>0.10668849058901171</v>
      </c>
      <c r="P238">
        <f>NORMDIST($A$238,0,'Range Analysis'!$F$7,FALSE())*(NORMDIST((('Range Analysis'!$F$5-IF('Range Analysis'!H30&lt;=0,0,'Range Analysis'!G30*MAX(0,1.04-EXP(0.38*LN('Range Analysis'!H30)-0.54))))-$A$238)/('Range Analysis'!G30/2),0,1,TRUE())-NORMDIST((-('Range Analysis'!$F$5-IF('Range Analysis'!H30&lt;=0,0,'Range Analysis'!G30*MAX(0,1.04-EXP(0.38*LN('Range Analysis'!H30)-0.54))))-$A$238)/('Range Analysis'!G30/2),0,1,TRUE()))</f>
        <v>9.0516663207971748E-2</v>
      </c>
      <c r="Q238">
        <f>NORMDIST($A$238,0,'Range Analysis'!$F$7,FALSE())*(NORMDIST(('Range Analysis'!$F$5-$A$238)/('Range Analysis'!G24/2),0,1,TRUE())-NORMDIST((-'Range Analysis'!$F$5-$A$238)/('Range Analysis'!G24/2),0,1,TRUE()))</f>
        <v>0.13333911673154253</v>
      </c>
      <c r="R238">
        <f>NORMDIST($A$238,0,'Range Analysis'!$F$7,FALSE())*(NORMDIST(('Range Analysis'!$F$5-$A$238)/('Range Analysis'!G25/2),0,1,TRUE())-NORMDIST((-'Range Analysis'!$F$5-$A$238)/('Range Analysis'!G25/2),0,1,TRUE()))</f>
        <v>0.1478831819973668</v>
      </c>
      <c r="S238">
        <f>NORMDIST($A$238,0,'Range Analysis'!$F$7,FALSE())*(NORMDIST(('Range Analysis'!$F$5-$A$238)/('Range Analysis'!G26/2),0,1,TRUE())-NORMDIST((-'Range Analysis'!$F$5-$A$238)/('Range Analysis'!G26/2),0,1,TRUE()))</f>
        <v>0.15046411271950297</v>
      </c>
      <c r="T238">
        <f>NORMDIST($A$238,0,'Range Analysis'!$F$7,FALSE())*(NORMDIST(('Range Analysis'!$F$5-$A$238)/('Range Analysis'!G27/2),0,1,TRUE())-NORMDIST((-'Range Analysis'!$F$5-$A$238)/('Range Analysis'!G27/2),0,1,TRUE()))</f>
        <v>0.15652416172698985</v>
      </c>
      <c r="U238">
        <f>NORMDIST($A$238,0,'Range Analysis'!$F$7,FALSE())*(NORMDIST(('Range Analysis'!$F$5-$A$238)/('Range Analysis'!G28/2),0,1,TRUE())-NORMDIST((-'Range Analysis'!$F$5-$A$238)/('Range Analysis'!G28/2),0,1,TRUE()))</f>
        <v>0.15733793691737982</v>
      </c>
      <c r="V238">
        <f>NORMDIST($A$238,0,'Range Analysis'!$F$7,FALSE())*(NORMDIST(('Range Analysis'!$F$5-$A$238)/('Range Analysis'!G29/2),0,1,TRUE())-NORMDIST((-'Range Analysis'!$F$5-$A$238)/('Range Analysis'!G29/2),0,1,TRUE()))</f>
        <v>0.13333911673154253</v>
      </c>
      <c r="W238">
        <f>NORMDIST($A$238,0,'Range Analysis'!$F$7,FALSE())*(NORMDIST((('Range Analysis'!$F$5-0)-$A$238)/('Range Analysis'!G30/2),0,1,TRUE())-NORMDIST((-('Range Analysis'!$F$5-0)-$A$238)/('Range Analysis'!G30/2),0,1,TRUE()))</f>
        <v>0.12644331266827122</v>
      </c>
    </row>
    <row r="239" spans="1:23" ht="15" customHeight="1" x14ac:dyDescent="0.25">
      <c r="A239">
        <f>-'Range Analysis'!$F$5+6*$B$232</f>
        <v>-1.3846153846153846</v>
      </c>
      <c r="C239">
        <f>NORMDIST($A$239,0,'Range Analysis'!$F$7,FALSE())*(NORMDIST((('Range Analysis'!$F$5-0.98*'Range Analysis'!G24)-$A$239)/('Range Analysis'!G24/2),0,1,TRUE())-NORMDIST((-('Range Analysis'!$F$5-0.98*'Range Analysis'!G24)-$A$239)/('Range Analysis'!G24/2),0,1,TRUE()))</f>
        <v>4.026237967855098E-2</v>
      </c>
      <c r="D239">
        <f>NORMDIST($A$239,0,'Range Analysis'!$F$7,FALSE())*(NORMDIST((('Range Analysis'!$F$5-0.98*'Range Analysis'!G25)-$A$239)/('Range Analysis'!G25/2),0,1,TRUE())-NORMDIST((-('Range Analysis'!$F$5-0.98*'Range Analysis'!G25)-$A$239)/('Range Analysis'!G25/2),0,1,TRUE()))</f>
        <v>7.9871330985888334E-2</v>
      </c>
      <c r="E239">
        <f>NORMDIST($A$239,0,'Range Analysis'!$F$7,FALSE())*(NORMDIST((('Range Analysis'!$F$5-0.98*'Range Analysis'!G26)-$A$239)/('Range Analysis'!G26/2),0,1,TRUE())-NORMDIST((-('Range Analysis'!$F$5-0.98*'Range Analysis'!G26)-$A$239)/('Range Analysis'!G26/2),0,1,TRUE()))</f>
        <v>9.2712009441734106E-2</v>
      </c>
      <c r="F239">
        <f>NORMDIST($A$239,0,'Range Analysis'!$F$7,FALSE())*(NORMDIST((('Range Analysis'!$F$5-0.98*'Range Analysis'!G27)-$A$239)/('Range Analysis'!G27/2),0,1,TRUE())-NORMDIST((-('Range Analysis'!$F$5-0.98*'Range Analysis'!G27)-$A$239)/('Range Analysis'!G27/2),0,1,TRUE()))</f>
        <v>0.15003336995003247</v>
      </c>
      <c r="G239">
        <f>NORMDIST($A$239,0,'Range Analysis'!$F$7,FALSE())*(NORMDIST((('Range Analysis'!$F$5-0.98*'Range Analysis'!G28)-$A$239)/('Range Analysis'!G28/2),0,1,TRUE())-NORMDIST((-('Range Analysis'!$F$5-0.98*'Range Analysis'!G28)-$A$239)/('Range Analysis'!G28/2),0,1,TRUE()))</f>
        <v>0.17285221449185173</v>
      </c>
      <c r="H239">
        <f>NORMDIST($A$239,0,'Range Analysis'!$F$7,FALSE())*(NORMDIST((('Range Analysis'!$F$5-0.98*'Range Analysis'!G29)-$A$239)/('Range Analysis'!G29/2),0,1,TRUE())-NORMDIST((-('Range Analysis'!$F$5-0.98*'Range Analysis'!G29)-$A$239)/('Range Analysis'!G29/2),0,1,TRUE()))</f>
        <v>4.026237967855098E-2</v>
      </c>
      <c r="I239">
        <f>NORMDIST($A$239,0,'Range Analysis'!$F$7,FALSE())*(NORMDIST((('Range Analysis'!$F$5-0.98*'Range Analysis'!G30)-$A$239)/('Range Analysis'!G30/2),0,1,TRUE())-NORMDIST((-('Range Analysis'!$F$5-0.98*'Range Analysis'!G30)-$A$239)/('Range Analysis'!G30/2),0,1,TRUE()))</f>
        <v>3.0239324287830504E-2</v>
      </c>
      <c r="J239">
        <f>NORMDIST($A$239,0,'Range Analysis'!$F$7,FALSE())*(NORMDIST((('Range Analysis'!$F$5-IF('Range Analysis'!H24&lt;=0,0,'Range Analysis'!G24*MAX(0,1.04-EXP(0.38*LN('Range Analysis'!H24)-0.54))))-$A$239)/('Range Analysis'!G24/2),0,1,TRUE())-NORMDIST((-('Range Analysis'!$F$5-IF('Range Analysis'!H24&lt;=0,0,'Range Analysis'!G24*MAX(0,1.04-EXP(0.38*LN('Range Analysis'!H24)-0.54))))-$A$239)/('Range Analysis'!G24/2),0,1,TRUE()))</f>
        <v>0.12925314162832577</v>
      </c>
      <c r="K239">
        <f>NORMDIST($A$239,0,'Range Analysis'!$F$7,FALSE())*(NORMDIST((('Range Analysis'!$F$5-IF('Range Analysis'!H25&lt;=0,0,'Range Analysis'!G25*MAX(0,1.04-EXP(0.38*LN('Range Analysis'!H25)-0.54))))-$A$239)/('Range Analysis'!G25/2),0,1,TRUE())-NORMDIST((-('Range Analysis'!$F$5-IF('Range Analysis'!H25&lt;=0,0,'Range Analysis'!G25*MAX(0,1.04-EXP(0.38*LN('Range Analysis'!H25)-0.54))))-$A$239)/('Range Analysis'!G25/2),0,1,TRUE()))</f>
        <v>0.16260735604378482</v>
      </c>
      <c r="L239">
        <f>NORMDIST($A$239,0,'Range Analysis'!$F$7,FALSE())*(NORMDIST((('Range Analysis'!$F$5-IF('Range Analysis'!H26&lt;=0,0,'Range Analysis'!G26*MAX(0,1.04-EXP(0.38*LN('Range Analysis'!H26)-0.54))))-$A$239)/('Range Analysis'!G26/2),0,1,TRUE())-NORMDIST((-('Range Analysis'!$F$5-IF('Range Analysis'!H26&lt;=0,0,'Range Analysis'!G26*MAX(0,1.04-EXP(0.38*LN('Range Analysis'!H26)-0.54))))-$A$239)/('Range Analysis'!G26/2),0,1,TRUE()))</f>
        <v>0.1668158919026512</v>
      </c>
      <c r="M239">
        <f>NORMDIST($A$239,0,'Range Analysis'!$F$7,FALSE())*(NORMDIST((('Range Analysis'!$F$5-IF('Range Analysis'!H27&lt;=0,0,'Range Analysis'!G27*MAX(0,1.04-EXP(0.38*LN('Range Analysis'!H27)-0.54))))-$A$239)/('Range Analysis'!G27/2),0,1,TRUE())-NORMDIST((-('Range Analysis'!$F$5-IF('Range Analysis'!H27&lt;=0,0,'Range Analysis'!G27*MAX(0,1.04-EXP(0.38*LN('Range Analysis'!H27)-0.54))))-$A$239)/('Range Analysis'!G27/2),0,1,TRUE()))</f>
        <v>0.17267145492287322</v>
      </c>
      <c r="N239">
        <f>NORMDIST($A$239,0,'Range Analysis'!$F$7,FALSE())*(NORMDIST((('Range Analysis'!$F$5-IF('Range Analysis'!H28&lt;=0,0,'Range Analysis'!G28*MAX(0,1.04-EXP(0.38*LN('Range Analysis'!H28)-0.54))))-$A$239)/('Range Analysis'!G28/2),0,1,TRUE())-NORMDIST((-('Range Analysis'!$F$5-IF('Range Analysis'!H28&lt;=0,0,'Range Analysis'!G28*MAX(0,1.04-EXP(0.38*LN('Range Analysis'!H28)-0.54))))-$A$239)/('Range Analysis'!G28/2),0,1,TRUE()))</f>
        <v>0.17285221449185173</v>
      </c>
      <c r="O239">
        <f>NORMDIST($A$239,0,'Range Analysis'!$F$7,FALSE())*(NORMDIST((('Range Analysis'!$F$5-IF('Range Analysis'!H29&lt;=0,0,'Range Analysis'!G29*MAX(0,1.04-EXP(0.38*LN('Range Analysis'!H29)-0.54))))-$A$239)/('Range Analysis'!G29/2),0,1,TRUE())-NORMDIST((-('Range Analysis'!$F$5-IF('Range Analysis'!H29&lt;=0,0,'Range Analysis'!G29*MAX(0,1.04-EXP(0.38*LN('Range Analysis'!H29)-0.54))))-$A$239)/('Range Analysis'!G29/2),0,1,TRUE()))</f>
        <v>0.12925314162832577</v>
      </c>
      <c r="P239">
        <f>NORMDIST($A$239,0,'Range Analysis'!$F$7,FALSE())*(NORMDIST((('Range Analysis'!$F$5-IF('Range Analysis'!H30&lt;=0,0,'Range Analysis'!G30*MAX(0,1.04-EXP(0.38*LN('Range Analysis'!H30)-0.54))))-$A$239)/('Range Analysis'!G30/2),0,1,TRUE())-NORMDIST((-('Range Analysis'!$F$5-IF('Range Analysis'!H30&lt;=0,0,'Range Analysis'!G30*MAX(0,1.04-EXP(0.38*LN('Range Analysis'!H30)-0.54))))-$A$239)/('Range Analysis'!G30/2),0,1,TRUE()))</f>
        <v>0.11077843785017628</v>
      </c>
      <c r="Q239">
        <f>NORMDIST($A$239,0,'Range Analysis'!$F$7,FALSE())*(NORMDIST(('Range Analysis'!$F$5-$A$239)/('Range Analysis'!G24/2),0,1,TRUE())-NORMDIST((-'Range Analysis'!$F$5-$A$239)/('Range Analysis'!G24/2),0,1,TRUE()))</f>
        <v>0.15397595870448275</v>
      </c>
      <c r="R239">
        <f>NORMDIST($A$239,0,'Range Analysis'!$F$7,FALSE())*(NORMDIST(('Range Analysis'!$F$5-$A$239)/('Range Analysis'!G25/2),0,1,TRUE())-NORMDIST((-'Range Analysis'!$F$5-$A$239)/('Range Analysis'!G25/2),0,1,TRUE()))</f>
        <v>0.16747571707177142</v>
      </c>
      <c r="S239">
        <f>NORMDIST($A$239,0,'Range Analysis'!$F$7,FALSE())*(NORMDIST(('Range Analysis'!$F$5-$A$239)/('Range Analysis'!G26/2),0,1,TRUE())-NORMDIST((-'Range Analysis'!$F$5-$A$239)/('Range Analysis'!G26/2),0,1,TRUE()))</f>
        <v>0.16937447224122515</v>
      </c>
      <c r="T239">
        <f>NORMDIST($A$239,0,'Range Analysis'!$F$7,FALSE())*(NORMDIST(('Range Analysis'!$F$5-$A$239)/('Range Analysis'!G27/2),0,1,TRUE())-NORMDIST((-'Range Analysis'!$F$5-$A$239)/('Range Analysis'!G27/2),0,1,TRUE()))</f>
        <v>0.17267145492287322</v>
      </c>
      <c r="U239">
        <f>NORMDIST($A$239,0,'Range Analysis'!$F$7,FALSE())*(NORMDIST(('Range Analysis'!$F$5-$A$239)/('Range Analysis'!G28/2),0,1,TRUE())-NORMDIST((-'Range Analysis'!$F$5-$A$239)/('Range Analysis'!G28/2),0,1,TRUE()))</f>
        <v>0.17285221449185173</v>
      </c>
      <c r="V239">
        <f>NORMDIST($A$239,0,'Range Analysis'!$F$7,FALSE())*(NORMDIST(('Range Analysis'!$F$5-$A$239)/('Range Analysis'!G29/2),0,1,TRUE())-NORMDIST((-'Range Analysis'!$F$5-$A$239)/('Range Analysis'!G29/2),0,1,TRUE()))</f>
        <v>0.15397595870448275</v>
      </c>
      <c r="W239">
        <f>NORMDIST($A$239,0,'Range Analysis'!$F$7,FALSE())*(NORMDIST((('Range Analysis'!$F$5-0)-$A$239)/('Range Analysis'!G30/2),0,1,TRUE())-NORMDIST((-('Range Analysis'!$F$5-0)-$A$239)/('Range Analysis'!G30/2),0,1,TRUE()))</f>
        <v>0.14648699371033821</v>
      </c>
    </row>
    <row r="240" spans="1:23" ht="15" customHeight="1" x14ac:dyDescent="0.25">
      <c r="A240">
        <f>-'Range Analysis'!$F$5+7*$B$232</f>
        <v>-1.2820512820512819</v>
      </c>
      <c r="C240">
        <f>NORMDIST($A$240,0,'Range Analysis'!$F$7,FALSE())*(NORMDIST((('Range Analysis'!$F$5-0.98*'Range Analysis'!G24)-$A$240)/('Range Analysis'!G24/2),0,1,TRUE())-NORMDIST((-('Range Analysis'!$F$5-0.98*'Range Analysis'!G24)-$A$240)/('Range Analysis'!G24/2),0,1,TRUE()))</f>
        <v>5.6606643793472119E-2</v>
      </c>
      <c r="D240">
        <f>NORMDIST($A$240,0,'Range Analysis'!$F$7,FALSE())*(NORMDIST((('Range Analysis'!$F$5-0.98*'Range Analysis'!G25)-$A$240)/('Range Analysis'!G25/2),0,1,TRUE())-NORMDIST((-('Range Analysis'!$F$5-0.98*'Range Analysis'!G25)-$A$240)/('Range Analysis'!G25/2),0,1,TRUE()))</f>
        <v>0.11041183084567827</v>
      </c>
      <c r="E240">
        <f>NORMDIST($A$240,0,'Range Analysis'!$F$7,FALSE())*(NORMDIST((('Range Analysis'!$F$5-0.98*'Range Analysis'!G26)-$A$240)/('Range Analysis'!G26/2),0,1,TRUE())-NORMDIST((-('Range Analysis'!$F$5-0.98*'Range Analysis'!G26)-$A$240)/('Range Analysis'!G26/2),0,1,TRUE()))</f>
        <v>0.12591690395386559</v>
      </c>
      <c r="F240">
        <f>NORMDIST($A$240,0,'Range Analysis'!$F$7,FALSE())*(NORMDIST((('Range Analysis'!$F$5-0.98*'Range Analysis'!G27)-$A$240)/('Range Analysis'!G27/2),0,1,TRUE())-NORMDIST((-('Range Analysis'!$F$5-0.98*'Range Analysis'!G27)-$A$240)/('Range Analysis'!G27/2),0,1,TRUE()))</f>
        <v>0.17889610409215428</v>
      </c>
      <c r="G240">
        <f>NORMDIST($A$240,0,'Range Analysis'!$F$7,FALSE())*(NORMDIST((('Range Analysis'!$F$5-0.98*'Range Analysis'!G28)-$A$240)/('Range Analysis'!G28/2),0,1,TRUE())-NORMDIST((-('Range Analysis'!$F$5-0.98*'Range Analysis'!G28)-$A$240)/('Range Analysis'!G28/2),0,1,TRUE()))</f>
        <v>0.18862497479824472</v>
      </c>
      <c r="H240">
        <f>NORMDIST($A$240,0,'Range Analysis'!$F$7,FALSE())*(NORMDIST((('Range Analysis'!$F$5-0.98*'Range Analysis'!G29)-$A$240)/('Range Analysis'!G29/2),0,1,TRUE())-NORMDIST((-('Range Analysis'!$F$5-0.98*'Range Analysis'!G29)-$A$240)/('Range Analysis'!G29/2),0,1,TRUE()))</f>
        <v>5.6606643793472119E-2</v>
      </c>
      <c r="I240">
        <f>NORMDIST($A$240,0,'Range Analysis'!$F$7,FALSE())*(NORMDIST((('Range Analysis'!$F$5-0.98*'Range Analysis'!G30)-$A$240)/('Range Analysis'!G30/2),0,1,TRUE())-NORMDIST((-('Range Analysis'!$F$5-0.98*'Range Analysis'!G30)-$A$240)/('Range Analysis'!G30/2),0,1,TRUE()))</f>
        <v>4.1946960114838089E-2</v>
      </c>
      <c r="J240">
        <f>NORMDIST($A$240,0,'Range Analysis'!$F$7,FALSE())*(NORMDIST((('Range Analysis'!$F$5-IF('Range Analysis'!H24&lt;=0,0,'Range Analysis'!G24*MAX(0,1.04-EXP(0.38*LN('Range Analysis'!H24)-0.54))))-$A$240)/('Range Analysis'!G24/2),0,1,TRUE())-NORMDIST((-('Range Analysis'!$F$5-IF('Range Analysis'!H24&lt;=0,0,'Range Analysis'!G24*MAX(0,1.04-EXP(0.38*LN('Range Analysis'!H24)-0.54))))-$A$240)/('Range Analysis'!G24/2),0,1,TRUE()))</f>
        <v>0.1525148525747452</v>
      </c>
      <c r="K240">
        <f>NORMDIST($A$240,0,'Range Analysis'!$F$7,FALSE())*(NORMDIST((('Range Analysis'!$F$5-IF('Range Analysis'!H25&lt;=0,0,'Range Analysis'!G25*MAX(0,1.04-EXP(0.38*LN('Range Analysis'!H25)-0.54))))-$A$240)/('Range Analysis'!G25/2),0,1,TRUE())-NORMDIST((-('Range Analysis'!$F$5-IF('Range Analysis'!H25&lt;=0,0,'Range Analysis'!G25*MAX(0,1.04-EXP(0.38*LN('Range Analysis'!H25)-0.54))))-$A$240)/('Range Analysis'!G25/2),0,1,TRUE()))</f>
        <v>0.18284898191068547</v>
      </c>
      <c r="L240">
        <f>NORMDIST($A$240,0,'Range Analysis'!$F$7,FALSE())*(NORMDIST((('Range Analysis'!$F$5-IF('Range Analysis'!H26&lt;=0,0,'Range Analysis'!G26*MAX(0,1.04-EXP(0.38*LN('Range Analysis'!H26)-0.54))))-$A$240)/('Range Analysis'!G26/2),0,1,TRUE())-NORMDIST((-('Range Analysis'!$F$5-IF('Range Analysis'!H26&lt;=0,0,'Range Analysis'!G26*MAX(0,1.04-EXP(0.38*LN('Range Analysis'!H26)-0.54))))-$A$240)/('Range Analysis'!G26/2),0,1,TRUE()))</f>
        <v>0.18568457099266222</v>
      </c>
      <c r="M240">
        <f>NORMDIST($A$240,0,'Range Analysis'!$F$7,FALSE())*(NORMDIST((('Range Analysis'!$F$5-IF('Range Analysis'!H27&lt;=0,0,'Range Analysis'!G27*MAX(0,1.04-EXP(0.38*LN('Range Analysis'!H27)-0.54))))-$A$240)/('Range Analysis'!G27/2),0,1,TRUE())-NORMDIST((-('Range Analysis'!$F$5-IF('Range Analysis'!H27&lt;=0,0,'Range Analysis'!G27*MAX(0,1.04-EXP(0.38*LN('Range Analysis'!H27)-0.54))))-$A$240)/('Range Analysis'!G27/2),0,1,TRUE()))</f>
        <v>0.18859375704489018</v>
      </c>
      <c r="N240">
        <f>NORMDIST($A$240,0,'Range Analysis'!$F$7,FALSE())*(NORMDIST((('Range Analysis'!$F$5-IF('Range Analysis'!H28&lt;=0,0,'Range Analysis'!G28*MAX(0,1.04-EXP(0.38*LN('Range Analysis'!H28)-0.54))))-$A$240)/('Range Analysis'!G28/2),0,1,TRUE())-NORMDIST((-('Range Analysis'!$F$5-IF('Range Analysis'!H28&lt;=0,0,'Range Analysis'!G28*MAX(0,1.04-EXP(0.38*LN('Range Analysis'!H28)-0.54))))-$A$240)/('Range Analysis'!G28/2),0,1,TRUE()))</f>
        <v>0.18862497479824472</v>
      </c>
      <c r="O240">
        <f>NORMDIST($A$240,0,'Range Analysis'!$F$7,FALSE())*(NORMDIST((('Range Analysis'!$F$5-IF('Range Analysis'!H29&lt;=0,0,'Range Analysis'!G29*MAX(0,1.04-EXP(0.38*LN('Range Analysis'!H29)-0.54))))-$A$240)/('Range Analysis'!G29/2),0,1,TRUE())-NORMDIST((-('Range Analysis'!$F$5-IF('Range Analysis'!H29&lt;=0,0,'Range Analysis'!G29*MAX(0,1.04-EXP(0.38*LN('Range Analysis'!H29)-0.54))))-$A$240)/('Range Analysis'!G29/2),0,1,TRUE()))</f>
        <v>0.1525148525747452</v>
      </c>
      <c r="P240">
        <f>NORMDIST($A$240,0,'Range Analysis'!$F$7,FALSE())*(NORMDIST((('Range Analysis'!$F$5-IF('Range Analysis'!H30&lt;=0,0,'Range Analysis'!G30*MAX(0,1.04-EXP(0.38*LN('Range Analysis'!H30)-0.54))))-$A$240)/('Range Analysis'!G30/2),0,1,TRUE())-NORMDIST((-('Range Analysis'!$F$5-IF('Range Analysis'!H30&lt;=0,0,'Range Analysis'!G30*MAX(0,1.04-EXP(0.38*LN('Range Analysis'!H30)-0.54))))-$A$240)/('Range Analysis'!G30/2),0,1,TRUE()))</f>
        <v>0.13251952828794381</v>
      </c>
      <c r="Q240">
        <f>NORMDIST($A$240,0,'Range Analysis'!$F$7,FALSE())*(NORMDIST(('Range Analysis'!$F$5-$A$240)/('Range Analysis'!G24/2),0,1,TRUE())-NORMDIST((-'Range Analysis'!$F$5-$A$240)/('Range Analysis'!G24/2),0,1,TRUE()))</f>
        <v>0.17438081569013672</v>
      </c>
      <c r="R240">
        <f>NORMDIST($A$240,0,'Range Analysis'!$F$7,FALSE())*(NORMDIST(('Range Analysis'!$F$5-$A$240)/('Range Analysis'!G25/2),0,1,TRUE())-NORMDIST((-'Range Analysis'!$F$5-$A$240)/('Range Analysis'!G25/2),0,1,TRUE()))</f>
        <v>0.1858347379225313</v>
      </c>
      <c r="S240">
        <f>NORMDIST($A$240,0,'Range Analysis'!$F$7,FALSE())*(NORMDIST(('Range Analysis'!$F$5-$A$240)/('Range Analysis'!G26/2),0,1,TRUE())-NORMDIST((-'Range Analysis'!$F$5-$A$240)/('Range Analysis'!G26/2),0,1,TRUE()))</f>
        <v>0.18704959352883854</v>
      </c>
      <c r="T240">
        <f>NORMDIST($A$240,0,'Range Analysis'!$F$7,FALSE())*(NORMDIST(('Range Analysis'!$F$5-$A$240)/('Range Analysis'!G27/2),0,1,TRUE())-NORMDIST((-'Range Analysis'!$F$5-$A$240)/('Range Analysis'!G27/2),0,1,TRUE()))</f>
        <v>0.18859375704489018</v>
      </c>
      <c r="U240">
        <f>NORMDIST($A$240,0,'Range Analysis'!$F$7,FALSE())*(NORMDIST(('Range Analysis'!$F$5-$A$240)/('Range Analysis'!G28/2),0,1,TRUE())-NORMDIST((-'Range Analysis'!$F$5-$A$240)/('Range Analysis'!G28/2),0,1,TRUE()))</f>
        <v>0.18862497479824472</v>
      </c>
      <c r="V240">
        <f>NORMDIST($A$240,0,'Range Analysis'!$F$7,FALSE())*(NORMDIST(('Range Analysis'!$F$5-$A$240)/('Range Analysis'!G29/2),0,1,TRUE())-NORMDIST((-'Range Analysis'!$F$5-$A$240)/('Range Analysis'!G29/2),0,1,TRUE()))</f>
        <v>0.17438081569013672</v>
      </c>
      <c r="W240">
        <f>NORMDIST($A$240,0,'Range Analysis'!$F$7,FALSE())*(NORMDIST((('Range Analysis'!$F$5-0)-$A$240)/('Range Analysis'!G30/2),0,1,TRUE())-NORMDIST((-('Range Analysis'!$F$5-0)-$A$240)/('Range Analysis'!G30/2),0,1,TRUE()))</f>
        <v>0.16679447483826659</v>
      </c>
    </row>
    <row r="241" spans="1:23" ht="15" customHeight="1" x14ac:dyDescent="0.25">
      <c r="A241">
        <f>-'Range Analysis'!$F$5+8*$B$232</f>
        <v>-1.1794871794871795</v>
      </c>
      <c r="C241">
        <f>NORMDIST($A$241,0,'Range Analysis'!$F$7,FALSE())*(NORMDIST((('Range Analysis'!$F$5-0.98*'Range Analysis'!G24)-$A$241)/('Range Analysis'!G24/2),0,1,TRUE())-NORMDIST((-('Range Analysis'!$F$5-0.98*'Range Analysis'!G24)-$A$241)/('Range Analysis'!G24/2),0,1,TRUE()))</f>
        <v>7.6645035237730336E-2</v>
      </c>
      <c r="D241">
        <f>NORMDIST($A$241,0,'Range Analysis'!$F$7,FALSE())*(NORMDIST((('Range Analysis'!$F$5-0.98*'Range Analysis'!G25)-$A$241)/('Range Analysis'!G25/2),0,1,TRUE())-NORMDIST((-('Range Analysis'!$F$5-0.98*'Range Analysis'!G25)-$A$241)/('Range Analysis'!G25/2),0,1,TRUE()))</f>
        <v>0.14326352995540559</v>
      </c>
      <c r="E241">
        <f>NORMDIST($A$241,0,'Range Analysis'!$F$7,FALSE())*(NORMDIST((('Range Analysis'!$F$5-0.98*'Range Analysis'!G26)-$A$241)/('Range Analysis'!G26/2),0,1,TRUE())-NORMDIST((-('Range Analysis'!$F$5-0.98*'Range Analysis'!G26)-$A$241)/('Range Analysis'!G26/2),0,1,TRUE()))</f>
        <v>0.15965032237961366</v>
      </c>
      <c r="F241">
        <f>NORMDIST($A$241,0,'Range Analysis'!$F$7,FALSE())*(NORMDIST((('Range Analysis'!$F$5-0.98*'Range Analysis'!G27)-$A$241)/('Range Analysis'!G27/2),0,1,TRUE())-NORMDIST((-('Range Analysis'!$F$5-0.98*'Range Analysis'!G27)-$A$241)/('Range Analysis'!G27/2),0,1,TRUE()))</f>
        <v>0.20117249541059232</v>
      </c>
      <c r="G241">
        <f>NORMDIST($A$241,0,'Range Analysis'!$F$7,FALSE())*(NORMDIST((('Range Analysis'!$F$5-0.98*'Range Analysis'!G28)-$A$241)/('Range Analysis'!G28/2),0,1,TRUE())-NORMDIST((-('Range Analysis'!$F$5-0.98*'Range Analysis'!G28)-$A$241)/('Range Analysis'!G28/2),0,1,TRUE()))</f>
        <v>0.20445898095240983</v>
      </c>
      <c r="H241">
        <f>NORMDIST($A$241,0,'Range Analysis'!$F$7,FALSE())*(NORMDIST((('Range Analysis'!$F$5-0.98*'Range Analysis'!G29)-$A$241)/('Range Analysis'!G29/2),0,1,TRUE())-NORMDIST((-('Range Analysis'!$F$5-0.98*'Range Analysis'!G29)-$A$241)/('Range Analysis'!G29/2),0,1,TRUE()))</f>
        <v>7.6645035237730336E-2</v>
      </c>
      <c r="I241">
        <f>NORMDIST($A$241,0,'Range Analysis'!$F$7,FALSE())*(NORMDIST((('Range Analysis'!$F$5-0.98*'Range Analysis'!G30)-$A$241)/('Range Analysis'!G30/2),0,1,TRUE())-NORMDIST((-('Range Analysis'!$F$5-0.98*'Range Analysis'!G30)-$A$241)/('Range Analysis'!G30/2),0,1,TRUE()))</f>
        <v>5.6501192460845118E-2</v>
      </c>
      <c r="J241">
        <f>NORMDIST($A$241,0,'Range Analysis'!$F$7,FALSE())*(NORMDIST((('Range Analysis'!$F$5-IF('Range Analysis'!H24&lt;=0,0,'Range Analysis'!G24*MAX(0,1.04-EXP(0.38*LN('Range Analysis'!H24)-0.54))))-$A$241)/('Range Analysis'!G24/2),0,1,TRUE())-NORMDIST((-('Range Analysis'!$F$5-IF('Range Analysis'!H24&lt;=0,0,'Range Analysis'!G24*MAX(0,1.04-EXP(0.38*LN('Range Analysis'!H24)-0.54))))-$A$241)/('Range Analysis'!G24/2),0,1,TRUE()))</f>
        <v>0.17571695218467659</v>
      </c>
      <c r="K241">
        <f>NORMDIST($A$241,0,'Range Analysis'!$F$7,FALSE())*(NORMDIST((('Range Analysis'!$F$5-IF('Range Analysis'!H25&lt;=0,0,'Range Analysis'!G25*MAX(0,1.04-EXP(0.38*LN('Range Analysis'!H25)-0.54))))-$A$241)/('Range Analysis'!G25/2),0,1,TRUE())-NORMDIST((-('Range Analysis'!$F$5-IF('Range Analysis'!H25&lt;=0,0,'Range Analysis'!G25*MAX(0,1.04-EXP(0.38*LN('Range Analysis'!H25)-0.54))))-$A$241)/('Range Analysis'!G25/2),0,1,TRUE()))</f>
        <v>0.20148717207128328</v>
      </c>
      <c r="L241">
        <f>NORMDIST($A$241,0,'Range Analysis'!$F$7,FALSE())*(NORMDIST((('Range Analysis'!$F$5-IF('Range Analysis'!H26&lt;=0,0,'Range Analysis'!G26*MAX(0,1.04-EXP(0.38*LN('Range Analysis'!H26)-0.54))))-$A$241)/('Range Analysis'!G26/2),0,1,TRUE())-NORMDIST((-('Range Analysis'!$F$5-IF('Range Analysis'!H26&lt;=0,0,'Range Analysis'!G26*MAX(0,1.04-EXP(0.38*LN('Range Analysis'!H26)-0.54))))-$A$241)/('Range Analysis'!G26/2),0,1,TRUE()))</f>
        <v>0.2031774236651184</v>
      </c>
      <c r="M241">
        <f>NORMDIST($A$241,0,'Range Analysis'!$F$7,FALSE())*(NORMDIST((('Range Analysis'!$F$5-IF('Range Analysis'!H27&lt;=0,0,'Range Analysis'!G27*MAX(0,1.04-EXP(0.38*LN('Range Analysis'!H27)-0.54))))-$A$241)/('Range Analysis'!G27/2),0,1,TRUE())-NORMDIST((-('Range Analysis'!$F$5-IF('Range Analysis'!H27&lt;=0,0,'Range Analysis'!G27*MAX(0,1.04-EXP(0.38*LN('Range Analysis'!H27)-0.54))))-$A$241)/('Range Analysis'!G27/2),0,1,TRUE()))</f>
        <v>0.20445480389019133</v>
      </c>
      <c r="N241">
        <f>NORMDIST($A$241,0,'Range Analysis'!$F$7,FALSE())*(NORMDIST((('Range Analysis'!$F$5-IF('Range Analysis'!H28&lt;=0,0,'Range Analysis'!G28*MAX(0,1.04-EXP(0.38*LN('Range Analysis'!H28)-0.54))))-$A$241)/('Range Analysis'!G28/2),0,1,TRUE())-NORMDIST((-('Range Analysis'!$F$5-IF('Range Analysis'!H28&lt;=0,0,'Range Analysis'!G28*MAX(0,1.04-EXP(0.38*LN('Range Analysis'!H28)-0.54))))-$A$241)/('Range Analysis'!G28/2),0,1,TRUE()))</f>
        <v>0.20445898095240983</v>
      </c>
      <c r="O241">
        <f>NORMDIST($A$241,0,'Range Analysis'!$F$7,FALSE())*(NORMDIST((('Range Analysis'!$F$5-IF('Range Analysis'!H29&lt;=0,0,'Range Analysis'!G29*MAX(0,1.04-EXP(0.38*LN('Range Analysis'!H29)-0.54))))-$A$241)/('Range Analysis'!G29/2),0,1,TRUE())-NORMDIST((-('Range Analysis'!$F$5-IF('Range Analysis'!H29&lt;=0,0,'Range Analysis'!G29*MAX(0,1.04-EXP(0.38*LN('Range Analysis'!H29)-0.54))))-$A$241)/('Range Analysis'!G29/2),0,1,TRUE()))</f>
        <v>0.17571695218467659</v>
      </c>
      <c r="P241">
        <f>NORMDIST($A$241,0,'Range Analysis'!$F$7,FALSE())*(NORMDIST((('Range Analysis'!$F$5-IF('Range Analysis'!H30&lt;=0,0,'Range Analysis'!G30*MAX(0,1.04-EXP(0.38*LN('Range Analysis'!H30)-0.54))))-$A$241)/('Range Analysis'!G30/2),0,1,TRUE())-NORMDIST((-('Range Analysis'!$F$5-IF('Range Analysis'!H30&lt;=0,0,'Range Analysis'!G30*MAX(0,1.04-EXP(0.38*LN('Range Analysis'!H30)-0.54))))-$A$241)/('Range Analysis'!G30/2),0,1,TRUE()))</f>
        <v>0.15515965117721955</v>
      </c>
      <c r="Q241">
        <f>NORMDIST($A$241,0,'Range Analysis'!$F$7,FALSE())*(NORMDIST(('Range Analysis'!$F$5-$A$241)/('Range Analysis'!G24/2),0,1,TRUE())-NORMDIST((-'Range Analysis'!$F$5-$A$241)/('Range Analysis'!G24/2),0,1,TRUE()))</f>
        <v>0.19415505665009383</v>
      </c>
      <c r="R241">
        <f>NORMDIST($A$241,0,'Range Analysis'!$F$7,FALSE())*(NORMDIST(('Range Analysis'!$F$5-$A$241)/('Range Analysis'!G25/2),0,1,TRUE())-NORMDIST((-'Range Analysis'!$F$5-$A$241)/('Range Analysis'!G25/2),0,1,TRUE()))</f>
        <v>0.2031397918864789</v>
      </c>
      <c r="S241">
        <f>NORMDIST($A$241,0,'Range Analysis'!$F$7,FALSE())*(NORMDIST(('Range Analysis'!$F$5-$A$241)/('Range Analysis'!G26/2),0,1,TRUE())-NORMDIST((-'Range Analysis'!$F$5-$A$241)/('Range Analysis'!G26/2),0,1,TRUE()))</f>
        <v>0.20382135335617127</v>
      </c>
      <c r="T241">
        <f>NORMDIST($A$241,0,'Range Analysis'!$F$7,FALSE())*(NORMDIST(('Range Analysis'!$F$5-$A$241)/('Range Analysis'!G27/2),0,1,TRUE())-NORMDIST((-'Range Analysis'!$F$5-$A$241)/('Range Analysis'!G27/2),0,1,TRUE()))</f>
        <v>0.20445480389019133</v>
      </c>
      <c r="U241">
        <f>NORMDIST($A$241,0,'Range Analysis'!$F$7,FALSE())*(NORMDIST(('Range Analysis'!$F$5-$A$241)/('Range Analysis'!G28/2),0,1,TRUE())-NORMDIST((-'Range Analysis'!$F$5-$A$241)/('Range Analysis'!G28/2),0,1,TRUE()))</f>
        <v>0.20445898095240983</v>
      </c>
      <c r="V241">
        <f>NORMDIST($A$241,0,'Range Analysis'!$F$7,FALSE())*(NORMDIST(('Range Analysis'!$F$5-$A$241)/('Range Analysis'!G29/2),0,1,TRUE())-NORMDIST((-'Range Analysis'!$F$5-$A$241)/('Range Analysis'!G29/2),0,1,TRUE()))</f>
        <v>0.19415505665009383</v>
      </c>
      <c r="W241">
        <f>NORMDIST($A$241,0,'Range Analysis'!$F$7,FALSE())*(NORMDIST((('Range Analysis'!$F$5-0)-$A$241)/('Range Analysis'!G30/2),0,1,TRUE())-NORMDIST((-('Range Analysis'!$F$5-0)-$A$241)/('Range Analysis'!G30/2),0,1,TRUE()))</f>
        <v>0.18693050184345436</v>
      </c>
    </row>
    <row r="242" spans="1:23" ht="15" customHeight="1" x14ac:dyDescent="0.25">
      <c r="A242">
        <f>-'Range Analysis'!$F$5+9*$B$232</f>
        <v>-1.0769230769230771</v>
      </c>
      <c r="C242">
        <f>NORMDIST($A$242,0,'Range Analysis'!$F$7,FALSE())*(NORMDIST((('Range Analysis'!$F$5-0.98*'Range Analysis'!G24)-$A$242)/('Range Analysis'!G24/2),0,1,TRUE())-NORMDIST((-('Range Analysis'!$F$5-0.98*'Range Analysis'!G24)-$A$242)/('Range Analysis'!G24/2),0,1,TRUE()))</f>
        <v>0.10008951229137933</v>
      </c>
      <c r="D242">
        <f>NORMDIST($A$242,0,'Range Analysis'!$F$7,FALSE())*(NORMDIST((('Range Analysis'!$F$5-0.98*'Range Analysis'!G25)-$A$242)/('Range Analysis'!G25/2),0,1,TRUE())-NORMDIST((-('Range Analysis'!$F$5-0.98*'Range Analysis'!G25)-$A$242)/('Range Analysis'!G25/2),0,1,TRUE()))</f>
        <v>0.17583795818623693</v>
      </c>
      <c r="E242">
        <f>NORMDIST($A$242,0,'Range Analysis'!$F$7,FALSE())*(NORMDIST((('Range Analysis'!$F$5-0.98*'Range Analysis'!G26)-$A$242)/('Range Analysis'!G26/2),0,1,TRUE())-NORMDIST((-('Range Analysis'!$F$5-0.98*'Range Analysis'!G26)-$A$242)/('Range Analysis'!G26/2),0,1,TRUE()))</f>
        <v>0.19107719427764283</v>
      </c>
      <c r="F242">
        <f>NORMDIST($A$242,0,'Range Analysis'!$F$7,FALSE())*(NORMDIST((('Range Analysis'!$F$5-0.98*'Range Analysis'!G27)-$A$242)/('Range Analysis'!G27/2),0,1,TRUE())-NORMDIST((-('Range Analysis'!$F$5-0.98*'Range Analysis'!G27)-$A$242)/('Range Analysis'!G27/2),0,1,TRUE()))</f>
        <v>0.21926652095476445</v>
      </c>
      <c r="G242">
        <f>NORMDIST($A$242,0,'Range Analysis'!$F$7,FALSE())*(NORMDIST((('Range Analysis'!$F$5-0.98*'Range Analysis'!G28)-$A$242)/('Range Analysis'!G28/2),0,1,TRUE())-NORMDIST((-('Range Analysis'!$F$5-0.98*'Range Analysis'!G28)-$A$242)/('Range Analysis'!G28/2),0,1,TRUE()))</f>
        <v>0.22013846773407897</v>
      </c>
      <c r="H242">
        <f>NORMDIST($A$242,0,'Range Analysis'!$F$7,FALSE())*(NORMDIST((('Range Analysis'!$F$5-0.98*'Range Analysis'!G29)-$A$242)/('Range Analysis'!G29/2),0,1,TRUE())-NORMDIST((-('Range Analysis'!$F$5-0.98*'Range Analysis'!G29)-$A$242)/('Range Analysis'!G29/2),0,1,TRUE()))</f>
        <v>0.10008951229137933</v>
      </c>
      <c r="I242">
        <f>NORMDIST($A$242,0,'Range Analysis'!$F$7,FALSE())*(NORMDIST((('Range Analysis'!$F$5-0.98*'Range Analysis'!G30)-$A$242)/('Range Analysis'!G30/2),0,1,TRUE())-NORMDIST((-('Range Analysis'!$F$5-0.98*'Range Analysis'!G30)-$A$242)/('Range Analysis'!G30/2),0,1,TRUE()))</f>
        <v>7.3947604197491648E-2</v>
      </c>
      <c r="J242">
        <f>NORMDIST($A$242,0,'Range Analysis'!$F$7,FALSE())*(NORMDIST((('Range Analysis'!$F$5-IF('Range Analysis'!H24&lt;=0,0,'Range Analysis'!G24*MAX(0,1.04-EXP(0.38*LN('Range Analysis'!H24)-0.54))))-$A$242)/('Range Analysis'!G24/2),0,1,TRUE())-NORMDIST((-('Range Analysis'!$F$5-IF('Range Analysis'!H24&lt;=0,0,'Range Analysis'!G24*MAX(0,1.04-EXP(0.38*LN('Range Analysis'!H24)-0.54))))-$A$242)/('Range Analysis'!G24/2),0,1,TRUE()))</f>
        <v>0.19817525065116762</v>
      </c>
      <c r="K242">
        <f>NORMDIST($A$242,0,'Range Analysis'!$F$7,FALSE())*(NORMDIST((('Range Analysis'!$F$5-IF('Range Analysis'!H25&lt;=0,0,'Range Analysis'!G25*MAX(0,1.04-EXP(0.38*LN('Range Analysis'!H25)-0.54))))-$A$242)/('Range Analysis'!G25/2),0,1,TRUE())-NORMDIST((-('Range Analysis'!$F$5-IF('Range Analysis'!H25&lt;=0,0,'Range Analysis'!G25*MAX(0,1.04-EXP(0.38*LN('Range Analysis'!H25)-0.54))))-$A$242)/('Range Analysis'!G25/2),0,1,TRUE()))</f>
        <v>0.21874555459044848</v>
      </c>
      <c r="L242">
        <f>NORMDIST($A$242,0,'Range Analysis'!$F$7,FALSE())*(NORMDIST((('Range Analysis'!$F$5-IF('Range Analysis'!H26&lt;=0,0,'Range Analysis'!G26*MAX(0,1.04-EXP(0.38*LN('Range Analysis'!H26)-0.54))))-$A$242)/('Range Analysis'!G26/2),0,1,TRUE())-NORMDIST((-('Range Analysis'!$F$5-IF('Range Analysis'!H26&lt;=0,0,'Range Analysis'!G26*MAX(0,1.04-EXP(0.38*LN('Range Analysis'!H26)-0.54))))-$A$242)/('Range Analysis'!G26/2),0,1,TRUE()))</f>
        <v>0.21963966626477721</v>
      </c>
      <c r="M242">
        <f>NORMDIST($A$242,0,'Range Analysis'!$F$7,FALSE())*(NORMDIST((('Range Analysis'!$F$5-IF('Range Analysis'!H27&lt;=0,0,'Range Analysis'!G27*MAX(0,1.04-EXP(0.38*LN('Range Analysis'!H27)-0.54))))-$A$242)/('Range Analysis'!G27/2),0,1,TRUE())-NORMDIST((-('Range Analysis'!$F$5-IF('Range Analysis'!H27&lt;=0,0,'Range Analysis'!G27*MAX(0,1.04-EXP(0.38*LN('Range Analysis'!H27)-0.54))))-$A$242)/('Range Analysis'!G27/2),0,1,TRUE()))</f>
        <v>0.22013803585764072</v>
      </c>
      <c r="N242">
        <f>NORMDIST($A$242,0,'Range Analysis'!$F$7,FALSE())*(NORMDIST((('Range Analysis'!$F$5-IF('Range Analysis'!H28&lt;=0,0,'Range Analysis'!G28*MAX(0,1.04-EXP(0.38*LN('Range Analysis'!H28)-0.54))))-$A$242)/('Range Analysis'!G28/2),0,1,TRUE())-NORMDIST((-('Range Analysis'!$F$5-IF('Range Analysis'!H28&lt;=0,0,'Range Analysis'!G28*MAX(0,1.04-EXP(0.38*LN('Range Analysis'!H28)-0.54))))-$A$242)/('Range Analysis'!G28/2),0,1,TRUE()))</f>
        <v>0.22013846773407897</v>
      </c>
      <c r="O242">
        <f>NORMDIST($A$242,0,'Range Analysis'!$F$7,FALSE())*(NORMDIST((('Range Analysis'!$F$5-IF('Range Analysis'!H29&lt;=0,0,'Range Analysis'!G29*MAX(0,1.04-EXP(0.38*LN('Range Analysis'!H29)-0.54))))-$A$242)/('Range Analysis'!G29/2),0,1,TRUE())-NORMDIST((-('Range Analysis'!$F$5-IF('Range Analysis'!H29&lt;=0,0,'Range Analysis'!G29*MAX(0,1.04-EXP(0.38*LN('Range Analysis'!H29)-0.54))))-$A$242)/('Range Analysis'!G29/2),0,1,TRUE()))</f>
        <v>0.19817525065116762</v>
      </c>
      <c r="P242">
        <f>NORMDIST($A$242,0,'Range Analysis'!$F$7,FALSE())*(NORMDIST((('Range Analysis'!$F$5-IF('Range Analysis'!H30&lt;=0,0,'Range Analysis'!G30*MAX(0,1.04-EXP(0.38*LN('Range Analysis'!H30)-0.54))))-$A$242)/('Range Analysis'!G30/2),0,1,TRUE())-NORMDIST((-('Range Analysis'!$F$5-IF('Range Analysis'!H30&lt;=0,0,'Range Analysis'!G30*MAX(0,1.04-EXP(0.38*LN('Range Analysis'!H30)-0.54))))-$A$242)/('Range Analysis'!G30/2),0,1,TRUE()))</f>
        <v>0.17805698122900929</v>
      </c>
      <c r="Q242">
        <f>NORMDIST($A$242,0,'Range Analysis'!$F$7,FALSE())*(NORMDIST(('Range Analysis'!$F$5-$A$242)/('Range Analysis'!G24/2),0,1,TRUE())-NORMDIST((-'Range Analysis'!$F$5-$A$242)/('Range Analysis'!G24/2),0,1,TRUE()))</f>
        <v>0.21299829072806861</v>
      </c>
      <c r="R242">
        <f>NORMDIST($A$242,0,'Range Analysis'!$F$7,FALSE())*(NORMDIST(('Range Analysis'!$F$5-$A$242)/('Range Analysis'!G25/2),0,1,TRUE())-NORMDIST((-'Range Analysis'!$F$5-$A$242)/('Range Analysis'!G25/2),0,1,TRUE()))</f>
        <v>0.21957109201434702</v>
      </c>
      <c r="S242">
        <f>NORMDIST($A$242,0,'Range Analysis'!$F$7,FALSE())*(NORMDIST(('Range Analysis'!$F$5-$A$242)/('Range Analysis'!G26/2),0,1,TRUE())-NORMDIST((-'Range Analysis'!$F$5-$A$242)/('Range Analysis'!G26/2),0,1,TRUE()))</f>
        <v>0.21990825873930167</v>
      </c>
      <c r="T242">
        <f>NORMDIST($A$242,0,'Range Analysis'!$F$7,FALSE())*(NORMDIST(('Range Analysis'!$F$5-$A$242)/('Range Analysis'!G27/2),0,1,TRUE())-NORMDIST((-'Range Analysis'!$F$5-$A$242)/('Range Analysis'!G27/2),0,1,TRUE()))</f>
        <v>0.22013803585764072</v>
      </c>
      <c r="U242">
        <f>NORMDIST($A$242,0,'Range Analysis'!$F$7,FALSE())*(NORMDIST(('Range Analysis'!$F$5-$A$242)/('Range Analysis'!G28/2),0,1,TRUE())-NORMDIST((-'Range Analysis'!$F$5-$A$242)/('Range Analysis'!G28/2),0,1,TRUE()))</f>
        <v>0.22013846773407897</v>
      </c>
      <c r="V242">
        <f>NORMDIST($A$242,0,'Range Analysis'!$F$7,FALSE())*(NORMDIST(('Range Analysis'!$F$5-$A$242)/('Range Analysis'!G29/2),0,1,TRUE())-NORMDIST((-'Range Analysis'!$F$5-$A$242)/('Range Analysis'!G29/2),0,1,TRUE()))</f>
        <v>0.21299829072806861</v>
      </c>
      <c r="W242">
        <f>NORMDIST($A$242,0,'Range Analysis'!$F$7,FALSE())*(NORMDIST((('Range Analysis'!$F$5-0)-$A$242)/('Range Analysis'!G30/2),0,1,TRUE())-NORMDIST((-('Range Analysis'!$F$5-0)-$A$242)/('Range Analysis'!G30/2),0,1,TRUE()))</f>
        <v>0.20649691635779563</v>
      </c>
    </row>
    <row r="243" spans="1:23" ht="15" customHeight="1" x14ac:dyDescent="0.25">
      <c r="A243">
        <f>-'Range Analysis'!$F$5+10*$B$232</f>
        <v>-0.97435897435897445</v>
      </c>
      <c r="C243">
        <f>NORMDIST($A$243,0,'Range Analysis'!$F$7,FALSE())*(NORMDIST((('Range Analysis'!$F$5-0.98*'Range Analysis'!G24)-$A$243)/('Range Analysis'!G24/2),0,1,TRUE())-NORMDIST((-('Range Analysis'!$F$5-0.98*'Range Analysis'!G24)-$A$243)/('Range Analysis'!G24/2),0,1,TRUE()))</f>
        <v>0.12627069986197581</v>
      </c>
      <c r="D243">
        <f>NORMDIST($A$243,0,'Range Analysis'!$F$7,FALSE())*(NORMDIST((('Range Analysis'!$F$5-0.98*'Range Analysis'!G25)-$A$243)/('Range Analysis'!G25/2),0,1,TRUE())-NORMDIST((-('Range Analysis'!$F$5-0.98*'Range Analysis'!G25)-$A$243)/('Range Analysis'!G25/2),0,1,TRUE()))</f>
        <v>0.20589053168460589</v>
      </c>
      <c r="E243">
        <f>NORMDIST($A$243,0,'Range Analysis'!$F$7,FALSE())*(NORMDIST((('Range Analysis'!$F$5-0.98*'Range Analysis'!G26)-$A$243)/('Range Analysis'!G26/2),0,1,TRUE())-NORMDIST((-('Range Analysis'!$F$5-0.98*'Range Analysis'!G26)-$A$243)/('Range Analysis'!G26/2),0,1,TRUE()))</f>
        <v>0.21840948473570285</v>
      </c>
      <c r="F243">
        <f>NORMDIST($A$243,0,'Range Analysis'!$F$7,FALSE())*(NORMDIST((('Range Analysis'!$F$5-0.98*'Range Analysis'!G27)-$A$243)/('Range Analysis'!G27/2),0,1,TRUE())-NORMDIST((-('Range Analysis'!$F$5-0.98*'Range Analysis'!G27)-$A$243)/('Range Analysis'!G27/2),0,1,TRUE()))</f>
        <v>0.2352530385788654</v>
      </c>
      <c r="G243">
        <f>NORMDIST($A$243,0,'Range Analysis'!$F$7,FALSE())*(NORMDIST((('Range Analysis'!$F$5-0.98*'Range Analysis'!G28)-$A$243)/('Range Analysis'!G28/2),0,1,TRUE())-NORMDIST((-('Range Analysis'!$F$5-0.98*'Range Analysis'!G28)-$A$243)/('Range Analysis'!G28/2),0,1,TRUE()))</f>
        <v>0.2354335964368407</v>
      </c>
      <c r="H243">
        <f>NORMDIST($A$243,0,'Range Analysis'!$F$7,FALSE())*(NORMDIST((('Range Analysis'!$F$5-0.98*'Range Analysis'!G29)-$A$243)/('Range Analysis'!G29/2),0,1,TRUE())-NORMDIST((-('Range Analysis'!$F$5-0.98*'Range Analysis'!G29)-$A$243)/('Range Analysis'!G29/2),0,1,TRUE()))</f>
        <v>0.12627069986197581</v>
      </c>
      <c r="I243">
        <f>NORMDIST($A$243,0,'Range Analysis'!$F$7,FALSE())*(NORMDIST((('Range Analysis'!$F$5-0.98*'Range Analysis'!G30)-$A$243)/('Range Analysis'!G30/2),0,1,TRUE())-NORMDIST((-('Range Analysis'!$F$5-0.98*'Range Analysis'!G30)-$A$243)/('Range Analysis'!G30/2),0,1,TRUE()))</f>
        <v>9.4102875019034263E-2</v>
      </c>
      <c r="J243">
        <f>NORMDIST($A$243,0,'Range Analysis'!$F$7,FALSE())*(NORMDIST((('Range Analysis'!$F$5-IF('Range Analysis'!H24&lt;=0,0,'Range Analysis'!G24*MAX(0,1.04-EXP(0.38*LN('Range Analysis'!H24)-0.54))))-$A$243)/('Range Analysis'!G24/2),0,1,TRUE())-NORMDIST((-('Range Analysis'!$F$5-IF('Range Analysis'!H24&lt;=0,0,'Range Analysis'!G24*MAX(0,1.04-EXP(0.38*LN('Range Analysis'!H24)-0.54))))-$A$243)/('Range Analysis'!G24/2),0,1,TRUE()))</f>
        <v>0.21933544468900926</v>
      </c>
      <c r="K243">
        <f>NORMDIST($A$243,0,'Range Analysis'!$F$7,FALSE())*(NORMDIST((('Range Analysis'!$F$5-IF('Range Analysis'!H25&lt;=0,0,'Range Analysis'!G25*MAX(0,1.04-EXP(0.38*LN('Range Analysis'!H25)-0.54))))-$A$243)/('Range Analysis'!G25/2),0,1,TRUE())-NORMDIST((-('Range Analysis'!$F$5-IF('Range Analysis'!H25&lt;=0,0,'Range Analysis'!G25*MAX(0,1.04-EXP(0.38*LN('Range Analysis'!H25)-0.54))))-$A$243)/('Range Analysis'!G25/2),0,1,TRUE()))</f>
        <v>0.23483969779775504</v>
      </c>
      <c r="L243">
        <f>NORMDIST($A$243,0,'Range Analysis'!$F$7,FALSE())*(NORMDIST((('Range Analysis'!$F$5-IF('Range Analysis'!H26&lt;=0,0,'Range Analysis'!G26*MAX(0,1.04-EXP(0.38*LN('Range Analysis'!H26)-0.54))))-$A$243)/('Range Analysis'!G26/2),0,1,TRUE())-NORMDIST((-('Range Analysis'!$F$5-IF('Range Analysis'!H26&lt;=0,0,'Range Analysis'!G26*MAX(0,1.04-EXP(0.38*LN('Range Analysis'!H26)-0.54))))-$A$243)/('Range Analysis'!G26/2),0,1,TRUE()))</f>
        <v>0.23526049446284722</v>
      </c>
      <c r="M243">
        <f>NORMDIST($A$243,0,'Range Analysis'!$F$7,FALSE())*(NORMDIST((('Range Analysis'!$F$5-IF('Range Analysis'!H27&lt;=0,0,'Range Analysis'!G27*MAX(0,1.04-EXP(0.38*LN('Range Analysis'!H27)-0.54))))-$A$243)/('Range Analysis'!G27/2),0,1,TRUE())-NORMDIST((-('Range Analysis'!$F$5-IF('Range Analysis'!H27&lt;=0,0,'Range Analysis'!G27*MAX(0,1.04-EXP(0.38*LN('Range Analysis'!H27)-0.54))))-$A$243)/('Range Analysis'!G27/2),0,1,TRUE()))</f>
        <v>0.2354335620026031</v>
      </c>
      <c r="N243">
        <f>NORMDIST($A$243,0,'Range Analysis'!$F$7,FALSE())*(NORMDIST((('Range Analysis'!$F$5-IF('Range Analysis'!H28&lt;=0,0,'Range Analysis'!G28*MAX(0,1.04-EXP(0.38*LN('Range Analysis'!H28)-0.54))))-$A$243)/('Range Analysis'!G28/2),0,1,TRUE())-NORMDIST((-('Range Analysis'!$F$5-IF('Range Analysis'!H28&lt;=0,0,'Range Analysis'!G28*MAX(0,1.04-EXP(0.38*LN('Range Analysis'!H28)-0.54))))-$A$243)/('Range Analysis'!G28/2),0,1,TRUE()))</f>
        <v>0.2354335964368407</v>
      </c>
      <c r="O243">
        <f>NORMDIST($A$243,0,'Range Analysis'!$F$7,FALSE())*(NORMDIST((('Range Analysis'!$F$5-IF('Range Analysis'!H29&lt;=0,0,'Range Analysis'!G29*MAX(0,1.04-EXP(0.38*LN('Range Analysis'!H29)-0.54))))-$A$243)/('Range Analysis'!G29/2),0,1,TRUE())-NORMDIST((-('Range Analysis'!$F$5-IF('Range Analysis'!H29&lt;=0,0,'Range Analysis'!G29*MAX(0,1.04-EXP(0.38*LN('Range Analysis'!H29)-0.54))))-$A$243)/('Range Analysis'!G29/2),0,1,TRUE()))</f>
        <v>0.21933544468900926</v>
      </c>
      <c r="P243">
        <f>NORMDIST($A$243,0,'Range Analysis'!$F$7,FALSE())*(NORMDIST((('Range Analysis'!$F$5-IF('Range Analysis'!H30&lt;=0,0,'Range Analysis'!G30*MAX(0,1.04-EXP(0.38*LN('Range Analysis'!H30)-0.54))))-$A$243)/('Range Analysis'!G30/2),0,1,TRUE())-NORMDIST((-('Range Analysis'!$F$5-IF('Range Analysis'!H30&lt;=0,0,'Range Analysis'!G30*MAX(0,1.04-EXP(0.38*LN('Range Analysis'!H30)-0.54))))-$A$243)/('Range Analysis'!G30/2),0,1,TRUE()))</f>
        <v>0.20056219995017369</v>
      </c>
      <c r="Q243">
        <f>NORMDIST($A$243,0,'Range Analysis'!$F$7,FALSE())*(NORMDIST(('Range Analysis'!$F$5-$A$243)/('Range Analysis'!G24/2),0,1,TRUE())-NORMDIST((-'Range Analysis'!$F$5-$A$243)/('Range Analysis'!G24/2),0,1,TRUE()))</f>
        <v>0.23069673250401815</v>
      </c>
      <c r="R243">
        <f>NORMDIST($A$243,0,'Range Analysis'!$F$7,FALSE())*(NORMDIST(('Range Analysis'!$F$5-$A$243)/('Range Analysis'!G25/2),0,1,TRUE())-NORMDIST((-'Range Analysis'!$F$5-$A$243)/('Range Analysis'!G25/2),0,1,TRUE()))</f>
        <v>0.23521186968169261</v>
      </c>
      <c r="S243">
        <f>NORMDIST($A$243,0,'Range Analysis'!$F$7,FALSE())*(NORMDIST(('Range Analysis'!$F$5-$A$243)/('Range Analysis'!G26/2),0,1,TRUE())-NORMDIST((-'Range Analysis'!$F$5-$A$243)/('Range Analysis'!G26/2),0,1,TRUE()))</f>
        <v>0.23535955592679614</v>
      </c>
      <c r="T243">
        <f>NORMDIST($A$243,0,'Range Analysis'!$F$7,FALSE())*(NORMDIST(('Range Analysis'!$F$5-$A$243)/('Range Analysis'!G27/2),0,1,TRUE())-NORMDIST((-'Range Analysis'!$F$5-$A$243)/('Range Analysis'!G27/2),0,1,TRUE()))</f>
        <v>0.2354335620026031</v>
      </c>
      <c r="U243">
        <f>NORMDIST($A$243,0,'Range Analysis'!$F$7,FALSE())*(NORMDIST(('Range Analysis'!$F$5-$A$243)/('Range Analysis'!G28/2),0,1,TRUE())-NORMDIST((-'Range Analysis'!$F$5-$A$243)/('Range Analysis'!G28/2),0,1,TRUE()))</f>
        <v>0.2354335964368407</v>
      </c>
      <c r="V243">
        <f>NORMDIST($A$243,0,'Range Analysis'!$F$7,FALSE())*(NORMDIST(('Range Analysis'!$F$5-$A$243)/('Range Analysis'!G29/2),0,1,TRUE())-NORMDIST((-'Range Analysis'!$F$5-$A$243)/('Range Analysis'!G29/2),0,1,TRUE()))</f>
        <v>0.23069673250401815</v>
      </c>
      <c r="W243">
        <f>NORMDIST($A$243,0,'Range Analysis'!$F$7,FALSE())*(NORMDIST((('Range Analysis'!$F$5-0)-$A$243)/('Range Analysis'!G30/2),0,1,TRUE())-NORMDIST((-('Range Analysis'!$F$5-0)-$A$243)/('Range Analysis'!G30/2),0,1,TRUE()))</f>
        <v>0.22514782286415969</v>
      </c>
    </row>
    <row r="244" spans="1:23" ht="15" customHeight="1" x14ac:dyDescent="0.25">
      <c r="A244">
        <f>-'Range Analysis'!$F$5+11*$B$232</f>
        <v>-0.87179487179487181</v>
      </c>
      <c r="C244">
        <f>NORMDIST($A$244,0,'Range Analysis'!$F$7,FALSE())*(NORMDIST((('Range Analysis'!$F$5-0.98*'Range Analysis'!G24)-$A$244)/('Range Analysis'!G24/2),0,1,TRUE())-NORMDIST((-('Range Analysis'!$F$5-0.98*'Range Analysis'!G24)-$A$244)/('Range Analysis'!G24/2),0,1,TRUE()))</f>
        <v>0.15418127203672655</v>
      </c>
      <c r="D244">
        <f>NORMDIST($A$244,0,'Range Analysis'!$F$7,FALSE())*(NORMDIST((('Range Analysis'!$F$5-0.98*'Range Analysis'!G25)-$A$244)/('Range Analysis'!G25/2),0,1,TRUE())-NORMDIST((-('Range Analysis'!$F$5-0.98*'Range Analysis'!G25)-$A$244)/('Range Analysis'!G25/2),0,1,TRUE()))</f>
        <v>0.23202070503020975</v>
      </c>
      <c r="E244">
        <f>NORMDIST($A$244,0,'Range Analysis'!$F$7,FALSE())*(NORMDIST((('Range Analysis'!$F$5-0.98*'Range Analysis'!G26)-$A$244)/('Range Analysis'!G26/2),0,1,TRUE())-NORMDIST((-('Range Analysis'!$F$5-0.98*'Range Analysis'!G26)-$A$244)/('Range Analysis'!G26/2),0,1,TRUE()))</f>
        <v>0.24113286836652387</v>
      </c>
      <c r="F244">
        <f>NORMDIST($A$244,0,'Range Analysis'!$F$7,FALSE())*(NORMDIST((('Range Analysis'!$F$5-0.98*'Range Analysis'!G27)-$A$244)/('Range Analysis'!G27/2),0,1,TRUE())-NORMDIST((-('Range Analysis'!$F$5-0.98*'Range Analysis'!G27)-$A$244)/('Range Analysis'!G27/2),0,1,TRUE()))</f>
        <v>0.25007670530357407</v>
      </c>
      <c r="G244">
        <f>NORMDIST($A$244,0,'Range Analysis'!$F$7,FALSE())*(NORMDIST((('Range Analysis'!$F$5-0.98*'Range Analysis'!G28)-$A$244)/('Range Analysis'!G28/2),0,1,TRUE())-NORMDIST((-('Range Analysis'!$F$5-0.98*'Range Analysis'!G28)-$A$244)/('Range Analysis'!G28/2),0,1,TRUE()))</f>
        <v>0.25010575479189689</v>
      </c>
      <c r="H244">
        <f>NORMDIST($A$244,0,'Range Analysis'!$F$7,FALSE())*(NORMDIST((('Range Analysis'!$F$5-0.98*'Range Analysis'!G29)-$A$244)/('Range Analysis'!G29/2),0,1,TRUE())-NORMDIST((-('Range Analysis'!$F$5-0.98*'Range Analysis'!G29)-$A$244)/('Range Analysis'!G29/2),0,1,TRUE()))</f>
        <v>0.15418127203672655</v>
      </c>
      <c r="I244">
        <f>NORMDIST($A$244,0,'Range Analysis'!$F$7,FALSE())*(NORMDIST((('Range Analysis'!$F$5-0.98*'Range Analysis'!G30)-$A$244)/('Range Analysis'!G30/2),0,1,TRUE())-NORMDIST((-('Range Analysis'!$F$5-0.98*'Range Analysis'!G30)-$A$244)/('Range Analysis'!G30/2),0,1,TRUE()))</f>
        <v>0.11652434864813675</v>
      </c>
      <c r="J244">
        <f>NORMDIST($A$244,0,'Range Analysis'!$F$7,FALSE())*(NORMDIST((('Range Analysis'!$F$5-IF('Range Analysis'!H24&lt;=0,0,'Range Analysis'!G24*MAX(0,1.04-EXP(0.38*LN('Range Analysis'!H24)-0.54))))-$A$244)/('Range Analysis'!G24/2),0,1,TRUE())-NORMDIST((-('Range Analysis'!$F$5-IF('Range Analysis'!H24&lt;=0,0,'Range Analysis'!G24*MAX(0,1.04-EXP(0.38*LN('Range Analysis'!H24)-0.54))))-$A$244)/('Range Analysis'!G24/2),0,1,TRUE()))</f>
        <v>0.23879685817679791</v>
      </c>
      <c r="K244">
        <f>NORMDIST($A$244,0,'Range Analysis'!$F$7,FALSE())*(NORMDIST((('Range Analysis'!$F$5-IF('Range Analysis'!H25&lt;=0,0,'Range Analysis'!G25*MAX(0,1.04-EXP(0.38*LN('Range Analysis'!H25)-0.54))))-$A$244)/('Range Analysis'!G25/2),0,1,TRUE())-NORMDIST((-('Range Analysis'!$F$5-IF('Range Analysis'!H25&lt;=0,0,'Range Analysis'!G25*MAX(0,1.04-EXP(0.38*LN('Range Analysis'!H25)-0.54))))-$A$244)/('Range Analysis'!G25/2),0,1,TRUE()))</f>
        <v>0.2498756774228986</v>
      </c>
      <c r="L244">
        <f>NORMDIST($A$244,0,'Range Analysis'!$F$7,FALSE())*(NORMDIST((('Range Analysis'!$F$5-IF('Range Analysis'!H26&lt;=0,0,'Range Analysis'!G26*MAX(0,1.04-EXP(0.38*LN('Range Analysis'!H26)-0.54))))-$A$244)/('Range Analysis'!G26/2),0,1,TRUE())-NORMDIST((-('Range Analysis'!$F$5-IF('Range Analysis'!H26&lt;=0,0,'Range Analysis'!G26*MAX(0,1.04-EXP(0.38*LN('Range Analysis'!H26)-0.54))))-$A$244)/('Range Analysis'!G26/2),0,1,TRUE()))</f>
        <v>0.25005225963770739</v>
      </c>
      <c r="M244">
        <f>NORMDIST($A$244,0,'Range Analysis'!$F$7,FALSE())*(NORMDIST((('Range Analysis'!$F$5-IF('Range Analysis'!H27&lt;=0,0,'Range Analysis'!G27*MAX(0,1.04-EXP(0.38*LN('Range Analysis'!H27)-0.54))))-$A$244)/('Range Analysis'!G27/2),0,1,TRUE())-NORMDIST((-('Range Analysis'!$F$5-IF('Range Analysis'!H27&lt;=0,0,'Range Analysis'!G27*MAX(0,1.04-EXP(0.38*LN('Range Analysis'!H27)-0.54))))-$A$244)/('Range Analysis'!G27/2),0,1,TRUE()))</f>
        <v>0.25010575267800078</v>
      </c>
      <c r="N244">
        <f>NORMDIST($A$244,0,'Range Analysis'!$F$7,FALSE())*(NORMDIST((('Range Analysis'!$F$5-IF('Range Analysis'!H28&lt;=0,0,'Range Analysis'!G28*MAX(0,1.04-EXP(0.38*LN('Range Analysis'!H28)-0.54))))-$A$244)/('Range Analysis'!G28/2),0,1,TRUE())-NORMDIST((-('Range Analysis'!$F$5-IF('Range Analysis'!H28&lt;=0,0,'Range Analysis'!G28*MAX(0,1.04-EXP(0.38*LN('Range Analysis'!H28)-0.54))))-$A$244)/('Range Analysis'!G28/2),0,1,TRUE()))</f>
        <v>0.25010575479189689</v>
      </c>
      <c r="O244">
        <f>NORMDIST($A$244,0,'Range Analysis'!$F$7,FALSE())*(NORMDIST((('Range Analysis'!$F$5-IF('Range Analysis'!H29&lt;=0,0,'Range Analysis'!G29*MAX(0,1.04-EXP(0.38*LN('Range Analysis'!H29)-0.54))))-$A$244)/('Range Analysis'!G29/2),0,1,TRUE())-NORMDIST((-('Range Analysis'!$F$5-IF('Range Analysis'!H29&lt;=0,0,'Range Analysis'!G29*MAX(0,1.04-EXP(0.38*LN('Range Analysis'!H29)-0.54))))-$A$244)/('Range Analysis'!G29/2),0,1,TRUE()))</f>
        <v>0.23879685817679791</v>
      </c>
      <c r="P244">
        <f>NORMDIST($A$244,0,'Range Analysis'!$F$7,FALSE())*(NORMDIST((('Range Analysis'!$F$5-IF('Range Analysis'!H30&lt;=0,0,'Range Analysis'!G30*MAX(0,1.04-EXP(0.38*LN('Range Analysis'!H30)-0.54))))-$A$244)/('Range Analysis'!G30/2),0,1,TRUE())-NORMDIST((-('Range Analysis'!$F$5-IF('Range Analysis'!H30&lt;=0,0,'Range Analysis'!G30*MAX(0,1.04-EXP(0.38*LN('Range Analysis'!H30)-0.54))))-$A$244)/('Range Analysis'!G30/2),0,1,TRUE()))</f>
        <v>0.2220685882537107</v>
      </c>
      <c r="Q244">
        <f>NORMDIST($A$244,0,'Range Analysis'!$F$7,FALSE())*(NORMDIST(('Range Analysis'!$F$5-$A$244)/('Range Analysis'!G24/2),0,1,TRUE())-NORMDIST((-'Range Analysis'!$F$5-$A$244)/('Range Analysis'!G24/2),0,1,TRUE()))</f>
        <v>0.24709886346027152</v>
      </c>
      <c r="R244">
        <f>NORMDIST($A$244,0,'Range Analysis'!$F$7,FALSE())*(NORMDIST(('Range Analysis'!$F$5-$A$244)/('Range Analysis'!G25/2),0,1,TRUE())-NORMDIST((-'Range Analysis'!$F$5-$A$244)/('Range Analysis'!G25/2),0,1,TRUE()))</f>
        <v>0.25002710009719686</v>
      </c>
      <c r="S244">
        <f>NORMDIST($A$244,0,'Range Analysis'!$F$7,FALSE())*(NORMDIST(('Range Analysis'!$F$5-$A$244)/('Range Analysis'!G26/2),0,1,TRUE())-NORMDIST((-'Range Analysis'!$F$5-$A$244)/('Range Analysis'!G26/2),0,1,TRUE()))</f>
        <v>0.25008456463914713</v>
      </c>
      <c r="T244">
        <f>NORMDIST($A$244,0,'Range Analysis'!$F$7,FALSE())*(NORMDIST(('Range Analysis'!$F$5-$A$244)/('Range Analysis'!G27/2),0,1,TRUE())-NORMDIST((-'Range Analysis'!$F$5-$A$244)/('Range Analysis'!G27/2),0,1,TRUE()))</f>
        <v>0.25010575267800078</v>
      </c>
      <c r="U244">
        <f>NORMDIST($A$244,0,'Range Analysis'!$F$7,FALSE())*(NORMDIST(('Range Analysis'!$F$5-$A$244)/('Range Analysis'!G28/2),0,1,TRUE())-NORMDIST((-'Range Analysis'!$F$5-$A$244)/('Range Analysis'!G28/2),0,1,TRUE()))</f>
        <v>0.25010575479189689</v>
      </c>
      <c r="V244">
        <f>NORMDIST($A$244,0,'Range Analysis'!$F$7,FALSE())*(NORMDIST(('Range Analysis'!$F$5-$A$244)/('Range Analysis'!G29/2),0,1,TRUE())-NORMDIST((-'Range Analysis'!$F$5-$A$244)/('Range Analysis'!G29/2),0,1,TRUE()))</f>
        <v>0.24709886346027152</v>
      </c>
      <c r="W244">
        <f>NORMDIST($A$244,0,'Range Analysis'!$F$7,FALSE())*(NORMDIST((('Range Analysis'!$F$5-0)-$A$244)/('Range Analysis'!G30/2),0,1,TRUE())-NORMDIST((-('Range Analysis'!$F$5-0)-$A$244)/('Range Analysis'!G30/2),0,1,TRUE()))</f>
        <v>0.24259467910223012</v>
      </c>
    </row>
    <row r="245" spans="1:23" ht="15" customHeight="1" x14ac:dyDescent="0.25">
      <c r="A245">
        <f>-'Range Analysis'!$F$5+12*$B$232</f>
        <v>-0.76923076923076916</v>
      </c>
      <c r="C245">
        <f>NORMDIST($A$245,0,'Range Analysis'!$F$7,FALSE())*(NORMDIST((('Range Analysis'!$F$5-0.98*'Range Analysis'!G24)-$A$245)/('Range Analysis'!G24/2),0,1,TRUE())-NORMDIST((-('Range Analysis'!$F$5-0.98*'Range Analysis'!G24)-$A$245)/('Range Analysis'!G24/2),0,1,TRUE()))</f>
        <v>0.18258359399588767</v>
      </c>
      <c r="D245">
        <f>NORMDIST($A$245,0,'Range Analysis'!$F$7,FALSE())*(NORMDIST((('Range Analysis'!$F$5-0.98*'Range Analysis'!G25)-$A$245)/('Range Analysis'!G25/2),0,1,TRUE())-NORMDIST((-('Range Analysis'!$F$5-0.98*'Range Analysis'!G25)-$A$245)/('Range Analysis'!G25/2),0,1,TRUE()))</f>
        <v>0.25378016660729114</v>
      </c>
      <c r="E245">
        <f>NORMDIST($A$245,0,'Range Analysis'!$F$7,FALSE())*(NORMDIST((('Range Analysis'!$F$5-0.98*'Range Analysis'!G26)-$A$245)/('Range Analysis'!G26/2),0,1,TRUE())-NORMDIST((-('Range Analysis'!$F$5-0.98*'Range Analysis'!G26)-$A$245)/('Range Analysis'!G26/2),0,1,TRUE()))</f>
        <v>0.25967138480139157</v>
      </c>
      <c r="F245">
        <f>NORMDIST($A$245,0,'Range Analysis'!$F$7,FALSE())*(NORMDIST((('Range Analysis'!$F$5-0.98*'Range Analysis'!G27)-$A$245)/('Range Analysis'!G27/2),0,1,TRUE())-NORMDIST((-('Range Analysis'!$F$5-0.98*'Range Analysis'!G27)-$A$245)/('Range Analysis'!G27/2),0,1,TRUE()))</f>
        <v>0.26390992738515695</v>
      </c>
      <c r="G245">
        <f>NORMDIST($A$245,0,'Range Analysis'!$F$7,FALSE())*(NORMDIST((('Range Analysis'!$F$5-0.98*'Range Analysis'!G28)-$A$245)/('Range Analysis'!G28/2),0,1,TRUE())-NORMDIST((-('Range Analysis'!$F$5-0.98*'Range Analysis'!G28)-$A$245)/('Range Analysis'!G28/2),0,1,TRUE()))</f>
        <v>0.26391354648478349</v>
      </c>
      <c r="H245">
        <f>NORMDIST($A$245,0,'Range Analysis'!$F$7,FALSE())*(NORMDIST((('Range Analysis'!$F$5-0.98*'Range Analysis'!G29)-$A$245)/('Range Analysis'!G29/2),0,1,TRUE())-NORMDIST((-('Range Analysis'!$F$5-0.98*'Range Analysis'!G29)-$A$245)/('Range Analysis'!G29/2),0,1,TRUE()))</f>
        <v>0.18258359399588767</v>
      </c>
      <c r="I245">
        <f>NORMDIST($A$245,0,'Range Analysis'!$F$7,FALSE())*(NORMDIST((('Range Analysis'!$F$5-0.98*'Range Analysis'!G30)-$A$245)/('Range Analysis'!G30/2),0,1,TRUE())-NORMDIST((-('Range Analysis'!$F$5-0.98*'Range Analysis'!G30)-$A$245)/('Range Analysis'!G30/2),0,1,TRUE()))</f>
        <v>0.14050885445522898</v>
      </c>
      <c r="J245">
        <f>NORMDIST($A$245,0,'Range Analysis'!$F$7,FALSE())*(NORMDIST((('Range Analysis'!$F$5-IF('Range Analysis'!H24&lt;=0,0,'Range Analysis'!G24*MAX(0,1.04-EXP(0.38*LN('Range Analysis'!H24)-0.54))))-$A$245)/('Range Analysis'!G24/2),0,1,TRUE())-NORMDIST((-('Range Analysis'!$F$5-IF('Range Analysis'!H24&lt;=0,0,'Range Analysis'!G24*MAX(0,1.04-EXP(0.38*LN('Range Analysis'!H24)-0.54))))-$A$245)/('Range Analysis'!G24/2),0,1,TRUE()))</f>
        <v>0.25630437888436552</v>
      </c>
      <c r="K245">
        <f>NORMDIST($A$245,0,'Range Analysis'!$F$7,FALSE())*(NORMDIST((('Range Analysis'!$F$5-IF('Range Analysis'!H25&lt;=0,0,'Range Analysis'!G25*MAX(0,1.04-EXP(0.38*LN('Range Analysis'!H25)-0.54))))-$A$245)/('Range Analysis'!G25/2),0,1,TRUE())-NORMDIST((-('Range Analysis'!$F$5-IF('Range Analysis'!H25&lt;=0,0,'Range Analysis'!G25*MAX(0,1.04-EXP(0.38*LN('Range Analysis'!H25)-0.54))))-$A$245)/('Range Analysis'!G25/2),0,1,TRUE()))</f>
        <v>0.26383263948916169</v>
      </c>
      <c r="L245">
        <f>NORMDIST($A$245,0,'Range Analysis'!$F$7,FALSE())*(NORMDIST((('Range Analysis'!$F$5-IF('Range Analysis'!H26&lt;=0,0,'Range Analysis'!G26*MAX(0,1.04-EXP(0.38*LN('Range Analysis'!H26)-0.54))))-$A$245)/('Range Analysis'!G26/2),0,1,TRUE())-NORMDIST((-('Range Analysis'!$F$5-IF('Range Analysis'!H26&lt;=0,0,'Range Analysis'!G26*MAX(0,1.04-EXP(0.38*LN('Range Analysis'!H26)-0.54))))-$A$245)/('Range Analysis'!G26/2),0,1,TRUE()))</f>
        <v>0.26389883967887956</v>
      </c>
      <c r="M245">
        <f>NORMDIST($A$245,0,'Range Analysis'!$F$7,FALSE())*(NORMDIST((('Range Analysis'!$F$5-IF('Range Analysis'!H27&lt;=0,0,'Range Analysis'!G27*MAX(0,1.04-EXP(0.38*LN('Range Analysis'!H27)-0.54))))-$A$245)/('Range Analysis'!G27/2),0,1,TRUE())-NORMDIST((-('Range Analysis'!$F$5-IF('Range Analysis'!H27&lt;=0,0,'Range Analysis'!G27*MAX(0,1.04-EXP(0.38*LN('Range Analysis'!H27)-0.54))))-$A$245)/('Range Analysis'!G27/2),0,1,TRUE()))</f>
        <v>0.26391354638498982</v>
      </c>
      <c r="N245">
        <f>NORMDIST($A$245,0,'Range Analysis'!$F$7,FALSE())*(NORMDIST((('Range Analysis'!$F$5-IF('Range Analysis'!H28&lt;=0,0,'Range Analysis'!G28*MAX(0,1.04-EXP(0.38*LN('Range Analysis'!H28)-0.54))))-$A$245)/('Range Analysis'!G28/2),0,1,TRUE())-NORMDIST((-('Range Analysis'!$F$5-IF('Range Analysis'!H28&lt;=0,0,'Range Analysis'!G28*MAX(0,1.04-EXP(0.38*LN('Range Analysis'!H28)-0.54))))-$A$245)/('Range Analysis'!G28/2),0,1,TRUE()))</f>
        <v>0.26391354648478349</v>
      </c>
      <c r="O245">
        <f>NORMDIST($A$245,0,'Range Analysis'!$F$7,FALSE())*(NORMDIST((('Range Analysis'!$F$5-IF('Range Analysis'!H29&lt;=0,0,'Range Analysis'!G29*MAX(0,1.04-EXP(0.38*LN('Range Analysis'!H29)-0.54))))-$A$245)/('Range Analysis'!G29/2),0,1,TRUE())-NORMDIST((-('Range Analysis'!$F$5-IF('Range Analysis'!H29&lt;=0,0,'Range Analysis'!G29*MAX(0,1.04-EXP(0.38*LN('Range Analysis'!H29)-0.54))))-$A$245)/('Range Analysis'!G29/2),0,1,TRUE()))</f>
        <v>0.25630437888436552</v>
      </c>
      <c r="P245">
        <f>NORMDIST($A$245,0,'Range Analysis'!$F$7,FALSE())*(NORMDIST((('Range Analysis'!$F$5-IF('Range Analysis'!H30&lt;=0,0,'Range Analysis'!G30*MAX(0,1.04-EXP(0.38*LN('Range Analysis'!H30)-0.54))))-$A$245)/('Range Analysis'!G30/2),0,1,TRUE())-NORMDIST((-('Range Analysis'!$F$5-IF('Range Analysis'!H30&lt;=0,0,'Range Analysis'!G30*MAX(0,1.04-EXP(0.38*LN('Range Analysis'!H30)-0.54))))-$A$245)/('Range Analysis'!G30/2),0,1,TRUE()))</f>
        <v>0.2420506820554264</v>
      </c>
      <c r="Q245">
        <f>NORMDIST($A$245,0,'Range Analysis'!$F$7,FALSE())*(NORMDIST(('Range Analysis'!$F$5-$A$245)/('Range Analysis'!G24/2),0,1,TRUE())-NORMDIST((-'Range Analysis'!$F$5-$A$245)/('Range Analysis'!G24/2),0,1,TRUE()))</f>
        <v>0.26208801862538522</v>
      </c>
      <c r="R245">
        <f>NORMDIST($A$245,0,'Range Analysis'!$F$7,FALSE())*(NORMDIST(('Range Analysis'!$F$5-$A$245)/('Range Analysis'!G25/2),0,1,TRUE())-NORMDIST((-'Range Analysis'!$F$5-$A$245)/('Range Analysis'!G25/2),0,1,TRUE()))</f>
        <v>0.26388823966386848</v>
      </c>
      <c r="S245">
        <f>NORMDIST($A$245,0,'Range Analysis'!$F$7,FALSE())*(NORMDIST(('Range Analysis'!$F$5-$A$245)/('Range Analysis'!G26/2),0,1,TRUE())-NORMDIST((-'Range Analysis'!$F$5-$A$245)/('Range Analysis'!G26/2),0,1,TRUE()))</f>
        <v>0.26390815477589968</v>
      </c>
      <c r="T245">
        <f>NORMDIST($A$245,0,'Range Analysis'!$F$7,FALSE())*(NORMDIST(('Range Analysis'!$F$5-$A$245)/('Range Analysis'!G27/2),0,1,TRUE())-NORMDIST((-'Range Analysis'!$F$5-$A$245)/('Range Analysis'!G27/2),0,1,TRUE()))</f>
        <v>0.26391354638498982</v>
      </c>
      <c r="U245">
        <f>NORMDIST($A$245,0,'Range Analysis'!$F$7,FALSE())*(NORMDIST(('Range Analysis'!$F$5-$A$245)/('Range Analysis'!G28/2),0,1,TRUE())-NORMDIST((-'Range Analysis'!$F$5-$A$245)/('Range Analysis'!G28/2),0,1,TRUE()))</f>
        <v>0.26391354648478349</v>
      </c>
      <c r="V245">
        <f>NORMDIST($A$245,0,'Range Analysis'!$F$7,FALSE())*(NORMDIST(('Range Analysis'!$F$5-$A$245)/('Range Analysis'!G29/2),0,1,TRUE())-NORMDIST((-'Range Analysis'!$F$5-$A$245)/('Range Analysis'!G29/2),0,1,TRUE()))</f>
        <v>0.26208801862538522</v>
      </c>
      <c r="W245">
        <f>NORMDIST($A$245,0,'Range Analysis'!$F$7,FALSE())*(NORMDIST((('Range Analysis'!$F$5-0)-$A$245)/('Range Analysis'!G30/2),0,1,TRUE())-NORMDIST((-('Range Analysis'!$F$5-0)-$A$245)/('Range Analysis'!G30/2),0,1,TRUE()))</f>
        <v>0.25860315581888438</v>
      </c>
    </row>
    <row r="246" spans="1:23" ht="15" customHeight="1" x14ac:dyDescent="0.25">
      <c r="A246">
        <f>-'Range Analysis'!$F$5+13*$B$232</f>
        <v>-0.66666666666666674</v>
      </c>
      <c r="C246">
        <f>NORMDIST($A$246,0,'Range Analysis'!$F$7,FALSE())*(NORMDIST((('Range Analysis'!$F$5-0.98*'Range Analysis'!G24)-$A$246)/('Range Analysis'!G24/2),0,1,TRUE())-NORMDIST((-('Range Analysis'!$F$5-0.98*'Range Analysis'!G24)-$A$246)/('Range Analysis'!G24/2),0,1,TRUE()))</f>
        <v>0.21015923760776425</v>
      </c>
      <c r="D246">
        <f>NORMDIST($A$246,0,'Range Analysis'!$F$7,FALSE())*(NORMDIST((('Range Analysis'!$F$5-0.98*'Range Analysis'!G25)-$A$246)/('Range Analysis'!G25/2),0,1,TRUE())-NORMDIST((-('Range Analysis'!$F$5-0.98*'Range Analysis'!G25)-$A$246)/('Range Analysis'!G25/2),0,1,TRUE()))</f>
        <v>0.27143425079742617</v>
      </c>
      <c r="E246">
        <f>NORMDIST($A$246,0,'Range Analysis'!$F$7,FALSE())*(NORMDIST((('Range Analysis'!$F$5-0.98*'Range Analysis'!G26)-$A$246)/('Range Analysis'!G26/2),0,1,TRUE())-NORMDIST((-('Range Analysis'!$F$5-0.98*'Range Analysis'!G26)-$A$246)/('Range Analysis'!G26/2),0,1,TRUE()))</f>
        <v>0.27482465074037393</v>
      </c>
      <c r="F246">
        <f>NORMDIST($A$246,0,'Range Analysis'!$F$7,FALSE())*(NORMDIST((('Range Analysis'!$F$5-0.98*'Range Analysis'!G27)-$A$246)/('Range Analysis'!G27/2),0,1,TRUE())-NORMDIST((-('Range Analysis'!$F$5-0.98*'Range Analysis'!G27)-$A$246)/('Range Analysis'!G27/2),0,1,TRUE()))</f>
        <v>0.27661892189329401</v>
      </c>
      <c r="G246">
        <f>NORMDIST($A$246,0,'Range Analysis'!$F$7,FALSE())*(NORMDIST((('Range Analysis'!$F$5-0.98*'Range Analysis'!G28)-$A$246)/('Range Analysis'!G28/2),0,1,TRUE())-NORMDIST((-('Range Analysis'!$F$5-0.98*'Range Analysis'!G28)-$A$246)/('Range Analysis'!G28/2),0,1,TRUE()))</f>
        <v>0.27661927015713722</v>
      </c>
      <c r="H246">
        <f>NORMDIST($A$246,0,'Range Analysis'!$F$7,FALSE())*(NORMDIST((('Range Analysis'!$F$5-0.98*'Range Analysis'!G29)-$A$246)/('Range Analysis'!G29/2),0,1,TRUE())-NORMDIST((-('Range Analysis'!$F$5-0.98*'Range Analysis'!G29)-$A$246)/('Range Analysis'!G29/2),0,1,TRUE()))</f>
        <v>0.21015923760776425</v>
      </c>
      <c r="I246">
        <f>NORMDIST($A$246,0,'Range Analysis'!$F$7,FALSE())*(NORMDIST((('Range Analysis'!$F$5-0.98*'Range Analysis'!G30)-$A$246)/('Range Analysis'!G30/2),0,1,TRUE())-NORMDIST((-('Range Analysis'!$F$5-0.98*'Range Analysis'!G30)-$A$246)/('Range Analysis'!G30/2),0,1,TRUE()))</f>
        <v>0.16512434683197447</v>
      </c>
      <c r="J246">
        <f>NORMDIST($A$246,0,'Range Analysis'!$F$7,FALSE())*(NORMDIST((('Range Analysis'!$F$5-IF('Range Analysis'!H24&lt;=0,0,'Range Analysis'!G24*MAX(0,1.04-EXP(0.38*LN('Range Analysis'!H24)-0.54))))-$A$246)/('Range Analysis'!G24/2),0,1,TRUE())-NORMDIST((-('Range Analysis'!$F$5-IF('Range Analysis'!H24&lt;=0,0,'Range Analysis'!G24*MAX(0,1.04-EXP(0.38*LN('Range Analysis'!H24)-0.54))))-$A$246)/('Range Analysis'!G24/2),0,1,TRUE()))</f>
        <v>0.27171830252075574</v>
      </c>
      <c r="K246">
        <f>NORMDIST($A$246,0,'Range Analysis'!$F$7,FALSE())*(NORMDIST((('Range Analysis'!$F$5-IF('Range Analysis'!H25&lt;=0,0,'Range Analysis'!G25*MAX(0,1.04-EXP(0.38*LN('Range Analysis'!H25)-0.54))))-$A$246)/('Range Analysis'!G25/2),0,1,TRUE())-NORMDIST((-('Range Analysis'!$F$5-IF('Range Analysis'!H25&lt;=0,0,'Range Analysis'!G25*MAX(0,1.04-EXP(0.38*LN('Range Analysis'!H25)-0.54))))-$A$246)/('Range Analysis'!G25/2),0,1,TRUE()))</f>
        <v>0.2765934655369055</v>
      </c>
      <c r="L246">
        <f>NORMDIST($A$246,0,'Range Analysis'!$F$7,FALSE())*(NORMDIST((('Range Analysis'!$F$5-IF('Range Analysis'!H26&lt;=0,0,'Range Analysis'!G26*MAX(0,1.04-EXP(0.38*LN('Range Analysis'!H26)-0.54))))-$A$246)/('Range Analysis'!G26/2),0,1,TRUE())-NORMDIST((-('Range Analysis'!$F$5-IF('Range Analysis'!H26&lt;=0,0,'Range Analysis'!G26*MAX(0,1.04-EXP(0.38*LN('Range Analysis'!H26)-0.54))))-$A$246)/('Range Analysis'!G26/2),0,1,TRUE()))</f>
        <v>0.27661567642465751</v>
      </c>
      <c r="M246">
        <f>NORMDIST($A$246,0,'Range Analysis'!$F$7,FALSE())*(NORMDIST((('Range Analysis'!$F$5-IF('Range Analysis'!H27&lt;=0,0,'Range Analysis'!G27*MAX(0,1.04-EXP(0.38*LN('Range Analysis'!H27)-0.54))))-$A$246)/('Range Analysis'!G27/2),0,1,TRUE())-NORMDIST((-('Range Analysis'!$F$5-IF('Range Analysis'!H27&lt;=0,0,'Range Analysis'!G27*MAX(0,1.04-EXP(0.38*LN('Range Analysis'!H27)-0.54))))-$A$246)/('Range Analysis'!G27/2),0,1,TRUE()))</f>
        <v>0.27661927015351795</v>
      </c>
      <c r="N246">
        <f>NORMDIST($A$246,0,'Range Analysis'!$F$7,FALSE())*(NORMDIST((('Range Analysis'!$F$5-IF('Range Analysis'!H28&lt;=0,0,'Range Analysis'!G28*MAX(0,1.04-EXP(0.38*LN('Range Analysis'!H28)-0.54))))-$A$246)/('Range Analysis'!G28/2),0,1,TRUE())-NORMDIST((-('Range Analysis'!$F$5-IF('Range Analysis'!H28&lt;=0,0,'Range Analysis'!G28*MAX(0,1.04-EXP(0.38*LN('Range Analysis'!H28)-0.54))))-$A$246)/('Range Analysis'!G28/2),0,1,TRUE()))</f>
        <v>0.27661927015713722</v>
      </c>
      <c r="O246">
        <f>NORMDIST($A$246,0,'Range Analysis'!$F$7,FALSE())*(NORMDIST((('Range Analysis'!$F$5-IF('Range Analysis'!H29&lt;=0,0,'Range Analysis'!G29*MAX(0,1.04-EXP(0.38*LN('Range Analysis'!H29)-0.54))))-$A$246)/('Range Analysis'!G29/2),0,1,TRUE())-NORMDIST((-('Range Analysis'!$F$5-IF('Range Analysis'!H29&lt;=0,0,'Range Analysis'!G29*MAX(0,1.04-EXP(0.38*LN('Range Analysis'!H29)-0.54))))-$A$246)/('Range Analysis'!G29/2),0,1,TRUE()))</f>
        <v>0.27171830252075574</v>
      </c>
      <c r="P246">
        <f>NORMDIST($A$246,0,'Range Analysis'!$F$7,FALSE())*(NORMDIST((('Range Analysis'!$F$5-IF('Range Analysis'!H30&lt;=0,0,'Range Analysis'!G30*MAX(0,1.04-EXP(0.38*LN('Range Analysis'!H30)-0.54))))-$A$246)/('Range Analysis'!G30/2),0,1,TRUE())-NORMDIST((-('Range Analysis'!$F$5-IF('Range Analysis'!H30&lt;=0,0,'Range Analysis'!G30*MAX(0,1.04-EXP(0.38*LN('Range Analysis'!H30)-0.54))))-$A$246)/('Range Analysis'!G30/2),0,1,TRUE()))</f>
        <v>0.26008702617296381</v>
      </c>
      <c r="Q246">
        <f>NORMDIST($A$246,0,'Range Analysis'!$F$7,FALSE())*(NORMDIST(('Range Analysis'!$F$5-$A$246)/('Range Analysis'!G24/2),0,1,TRUE())-NORMDIST((-'Range Analysis'!$F$5-$A$246)/('Range Analysis'!G24/2),0,1,TRUE()))</f>
        <v>0.27555969974345229</v>
      </c>
      <c r="R246">
        <f>NORMDIST($A$246,0,'Range Analysis'!$F$7,FALSE())*(NORMDIST(('Range Analysis'!$F$5-$A$246)/('Range Analysis'!G25/2),0,1,TRUE())-NORMDIST((-'Range Analysis'!$F$5-$A$246)/('Range Analysis'!G25/2),0,1,TRUE()))</f>
        <v>0.27661189006640163</v>
      </c>
      <c r="S246">
        <f>NORMDIST($A$246,0,'Range Analysis'!$F$7,FALSE())*(NORMDIST(('Range Analysis'!$F$5-$A$246)/('Range Analysis'!G26/2),0,1,TRUE())-NORMDIST((-'Range Analysis'!$F$5-$A$246)/('Range Analysis'!G26/2),0,1,TRUE()))</f>
        <v>0.27661805138267348</v>
      </c>
      <c r="T246">
        <f>NORMDIST($A$246,0,'Range Analysis'!$F$7,FALSE())*(NORMDIST(('Range Analysis'!$F$5-$A$246)/('Range Analysis'!G27/2),0,1,TRUE())-NORMDIST((-'Range Analysis'!$F$5-$A$246)/('Range Analysis'!G27/2),0,1,TRUE()))</f>
        <v>0.27661927015351795</v>
      </c>
      <c r="U246">
        <f>NORMDIST($A$246,0,'Range Analysis'!$F$7,FALSE())*(NORMDIST(('Range Analysis'!$F$5-$A$246)/('Range Analysis'!G28/2),0,1,TRUE())-NORMDIST((-'Range Analysis'!$F$5-$A$246)/('Range Analysis'!G28/2),0,1,TRUE()))</f>
        <v>0.27661927015713722</v>
      </c>
      <c r="V246">
        <f>NORMDIST($A$246,0,'Range Analysis'!$F$7,FALSE())*(NORMDIST(('Range Analysis'!$F$5-$A$246)/('Range Analysis'!G29/2),0,1,TRUE())-NORMDIST((-'Range Analysis'!$F$5-$A$246)/('Range Analysis'!G29/2),0,1,TRUE()))</f>
        <v>0.27555969974345229</v>
      </c>
      <c r="W246">
        <f>NORMDIST($A$246,0,'Range Analysis'!$F$7,FALSE())*(NORMDIST((('Range Analysis'!$F$5-0)-$A$246)/('Range Analysis'!G30/2),0,1,TRUE())-NORMDIST((-('Range Analysis'!$F$5-0)-$A$246)/('Range Analysis'!G30/2),0,1,TRUE()))</f>
        <v>0.27298489358748573</v>
      </c>
    </row>
    <row r="247" spans="1:23" ht="15" customHeight="1" x14ac:dyDescent="0.25">
      <c r="A247">
        <f>-'Range Analysis'!$F$5+14*$B$232</f>
        <v>-0.5641025641025641</v>
      </c>
      <c r="C247">
        <f>NORMDIST($A$247,0,'Range Analysis'!$F$7,FALSE())*(NORMDIST((('Range Analysis'!$F$5-0.98*'Range Analysis'!G24)-$A$247)/('Range Analysis'!G24/2),0,1,TRUE())-NORMDIST((-('Range Analysis'!$F$5-0.98*'Range Analysis'!G24)-$A$247)/('Range Analysis'!G24/2),0,1,TRUE()))</f>
        <v>0.23566532311550198</v>
      </c>
      <c r="D247">
        <f>NORMDIST($A$247,0,'Range Analysis'!$F$7,FALSE())*(NORMDIST((('Range Analysis'!$F$5-0.98*'Range Analysis'!G25)-$A$247)/('Range Analysis'!G25/2),0,1,TRUE())-NORMDIST((-('Range Analysis'!$F$5-0.98*'Range Analysis'!G25)-$A$247)/('Range Analysis'!G25/2),0,1,TRUE()))</f>
        <v>0.2855774654738914</v>
      </c>
      <c r="E247">
        <f>NORMDIST($A$247,0,'Range Analysis'!$F$7,FALSE())*(NORMDIST((('Range Analysis'!$F$5-0.98*'Range Analysis'!G26)-$A$247)/('Range Analysis'!G26/2),0,1,TRUE())-NORMDIST((-('Range Analysis'!$F$5-0.98*'Range Analysis'!G26)-$A$247)/('Range Analysis'!G26/2),0,1,TRUE()))</f>
        <v>0.28731763018287909</v>
      </c>
      <c r="F247">
        <f>NORMDIST($A$247,0,'Range Analysis'!$F$7,FALSE())*(NORMDIST((('Range Analysis'!$F$5-0.98*'Range Analysis'!G27)-$A$247)/('Range Analysis'!G27/2),0,1,TRUE())-NORMDIST((-('Range Analysis'!$F$5-0.98*'Range Analysis'!G27)-$A$247)/('Range Analysis'!G27/2),0,1,TRUE()))</f>
        <v>0.28799562525216049</v>
      </c>
      <c r="G247">
        <f>NORMDIST($A$247,0,'Range Analysis'!$F$7,FALSE())*(NORMDIST((('Range Analysis'!$F$5-0.98*'Range Analysis'!G28)-$A$247)/('Range Analysis'!G28/2),0,1,TRUE())-NORMDIST((-('Range Analysis'!$F$5-0.98*'Range Analysis'!G28)-$A$247)/('Range Analysis'!G28/2),0,1,TRUE()))</f>
        <v>0.28799565108814001</v>
      </c>
      <c r="H247">
        <f>NORMDIST($A$247,0,'Range Analysis'!$F$7,FALSE())*(NORMDIST((('Range Analysis'!$F$5-0.98*'Range Analysis'!G29)-$A$247)/('Range Analysis'!G29/2),0,1,TRUE())-NORMDIST((-('Range Analysis'!$F$5-0.98*'Range Analysis'!G29)-$A$247)/('Range Analysis'!G29/2),0,1,TRUE()))</f>
        <v>0.23566532311550198</v>
      </c>
      <c r="I247">
        <f>NORMDIST($A$247,0,'Range Analysis'!$F$7,FALSE())*(NORMDIST((('Range Analysis'!$F$5-0.98*'Range Analysis'!G30)-$A$247)/('Range Analysis'!G30/2),0,1,TRUE())-NORMDIST((-('Range Analysis'!$F$5-0.98*'Range Analysis'!G30)-$A$247)/('Range Analysis'!G30/2),0,1,TRUE()))</f>
        <v>0.18927193309378981</v>
      </c>
      <c r="J247">
        <f>NORMDIST($A$247,0,'Range Analysis'!$F$7,FALSE())*(NORMDIST((('Range Analysis'!$F$5-IF('Range Analysis'!H24&lt;=0,0,'Range Analysis'!G24*MAX(0,1.04-EXP(0.38*LN('Range Analysis'!H24)-0.54))))-$A$247)/('Range Analysis'!G24/2),0,1,TRUE())-NORMDIST((-('Range Analysis'!$F$5-IF('Range Analysis'!H24&lt;=0,0,'Range Analysis'!G24*MAX(0,1.04-EXP(0.38*LN('Range Analysis'!H24)-0.54))))-$A$247)/('Range Analysis'!G24/2),0,1,TRUE()))</f>
        <v>0.2849751378124375</v>
      </c>
      <c r="K247">
        <f>NORMDIST($A$247,0,'Range Analysis'!$F$7,FALSE())*(NORMDIST((('Range Analysis'!$F$5-IF('Range Analysis'!H25&lt;=0,0,'Range Analysis'!G25*MAX(0,1.04-EXP(0.38*LN('Range Analysis'!H25)-0.54))))-$A$247)/('Range Analysis'!G25/2),0,1,TRUE())-NORMDIST((-('Range Analysis'!$F$5-IF('Range Analysis'!H25&lt;=0,0,'Range Analysis'!G25*MAX(0,1.04-EXP(0.38*LN('Range Analysis'!H25)-0.54))))-$A$247)/('Range Analysis'!G25/2),0,1,TRUE()))</f>
        <v>0.28798819151429561</v>
      </c>
      <c r="L247">
        <f>NORMDIST($A$247,0,'Range Analysis'!$F$7,FALSE())*(NORMDIST((('Range Analysis'!$F$5-IF('Range Analysis'!H26&lt;=0,0,'Range Analysis'!G26*MAX(0,1.04-EXP(0.38*LN('Range Analysis'!H26)-0.54))))-$A$247)/('Range Analysis'!G26/2),0,1,TRUE())-NORMDIST((-('Range Analysis'!$F$5-IF('Range Analysis'!H26&lt;=0,0,'Range Analysis'!G26*MAX(0,1.04-EXP(0.38*LN('Range Analysis'!H26)-0.54))))-$A$247)/('Range Analysis'!G26/2),0,1,TRUE()))</f>
        <v>0.28799487109480182</v>
      </c>
      <c r="M247">
        <f>NORMDIST($A$247,0,'Range Analysis'!$F$7,FALSE())*(NORMDIST((('Range Analysis'!$F$5-IF('Range Analysis'!H27&lt;=0,0,'Range Analysis'!G27*MAX(0,1.04-EXP(0.38*LN('Range Analysis'!H27)-0.54))))-$A$247)/('Range Analysis'!G27/2),0,1,TRUE())-NORMDIST((-('Range Analysis'!$F$5-IF('Range Analysis'!H27&lt;=0,0,'Range Analysis'!G27*MAX(0,1.04-EXP(0.38*LN('Range Analysis'!H27)-0.54))))-$A$247)/('Range Analysis'!G27/2),0,1,TRUE()))</f>
        <v>0.28799565108803926</v>
      </c>
      <c r="N247">
        <f>NORMDIST($A$247,0,'Range Analysis'!$F$7,FALSE())*(NORMDIST((('Range Analysis'!$F$5-IF('Range Analysis'!H28&lt;=0,0,'Range Analysis'!G28*MAX(0,1.04-EXP(0.38*LN('Range Analysis'!H28)-0.54))))-$A$247)/('Range Analysis'!G28/2),0,1,TRUE())-NORMDIST((-('Range Analysis'!$F$5-IF('Range Analysis'!H28&lt;=0,0,'Range Analysis'!G28*MAX(0,1.04-EXP(0.38*LN('Range Analysis'!H28)-0.54))))-$A$247)/('Range Analysis'!G28/2),0,1,TRUE()))</f>
        <v>0.28799565108814001</v>
      </c>
      <c r="O247">
        <f>NORMDIST($A$247,0,'Range Analysis'!$F$7,FALSE())*(NORMDIST((('Range Analysis'!$F$5-IF('Range Analysis'!H29&lt;=0,0,'Range Analysis'!G29*MAX(0,1.04-EXP(0.38*LN('Range Analysis'!H29)-0.54))))-$A$247)/('Range Analysis'!G29/2),0,1,TRUE())-NORMDIST((-('Range Analysis'!$F$5-IF('Range Analysis'!H29&lt;=0,0,'Range Analysis'!G29*MAX(0,1.04-EXP(0.38*LN('Range Analysis'!H29)-0.54))))-$A$247)/('Range Analysis'!G29/2),0,1,TRUE()))</f>
        <v>0.2849751378124375</v>
      </c>
      <c r="P247">
        <f>NORMDIST($A$247,0,'Range Analysis'!$F$7,FALSE())*(NORMDIST((('Range Analysis'!$F$5-IF('Range Analysis'!H30&lt;=0,0,'Range Analysis'!G30*MAX(0,1.04-EXP(0.38*LN('Range Analysis'!H30)-0.54))))-$A$247)/('Range Analysis'!G30/2),0,1,TRUE())-NORMDIST((-('Range Analysis'!$F$5-IF('Range Analysis'!H30&lt;=0,0,'Range Analysis'!G30*MAX(0,1.04-EXP(0.38*LN('Range Analysis'!H30)-0.54))))-$A$247)/('Range Analysis'!G30/2),0,1,TRUE()))</f>
        <v>0.2758662041652864</v>
      </c>
      <c r="Q247">
        <f>NORMDIST($A$247,0,'Range Analysis'!$F$7,FALSE())*(NORMDIST(('Range Analysis'!$F$5-$A$247)/('Range Analysis'!G24/2),0,1,TRUE())-NORMDIST((-'Range Analysis'!$F$5-$A$247)/('Range Analysis'!G24/2),0,1,TRUE()))</f>
        <v>0.28740788500238645</v>
      </c>
      <c r="R247">
        <f>NORMDIST($A$247,0,'Range Analysis'!$F$7,FALSE())*(NORMDIST(('Range Analysis'!$F$5-$A$247)/('Range Analysis'!G25/2),0,1,TRUE())-NORMDIST((-'Range Analysis'!$F$5-$A$247)/('Range Analysis'!G25/2),0,1,TRUE()))</f>
        <v>0.28799370147577169</v>
      </c>
      <c r="S247">
        <f>NORMDIST($A$247,0,'Range Analysis'!$F$7,FALSE())*(NORMDIST(('Range Analysis'!$F$5-$A$247)/('Range Analysis'!G26/2),0,1,TRUE())-NORMDIST((-'Range Analysis'!$F$5-$A$247)/('Range Analysis'!G26/2),0,1,TRUE()))</f>
        <v>0.28799540648897576</v>
      </c>
      <c r="T247">
        <f>NORMDIST($A$247,0,'Range Analysis'!$F$7,FALSE())*(NORMDIST(('Range Analysis'!$F$5-$A$247)/('Range Analysis'!G27/2),0,1,TRUE())-NORMDIST((-'Range Analysis'!$F$5-$A$247)/('Range Analysis'!G27/2),0,1,TRUE()))</f>
        <v>0.28799565108803926</v>
      </c>
      <c r="U247">
        <f>NORMDIST($A$247,0,'Range Analysis'!$F$7,FALSE())*(NORMDIST(('Range Analysis'!$F$5-$A$247)/('Range Analysis'!G28/2),0,1,TRUE())-NORMDIST((-'Range Analysis'!$F$5-$A$247)/('Range Analysis'!G28/2),0,1,TRUE()))</f>
        <v>0.28799565108814001</v>
      </c>
      <c r="V247">
        <f>NORMDIST($A$247,0,'Range Analysis'!$F$7,FALSE())*(NORMDIST(('Range Analysis'!$F$5-$A$247)/('Range Analysis'!G29/2),0,1,TRUE())-NORMDIST((-'Range Analysis'!$F$5-$A$247)/('Range Analysis'!G29/2),0,1,TRUE()))</f>
        <v>0.28740788500238645</v>
      </c>
      <c r="W247">
        <f>NORMDIST($A$247,0,'Range Analysis'!$F$7,FALSE())*(NORMDIST((('Range Analysis'!$F$5-0)-$A$247)/('Range Analysis'!G30/2),0,1,TRUE())-NORMDIST((-('Range Analysis'!$F$5-0)-$A$247)/('Range Analysis'!G30/2),0,1,TRUE()))</f>
        <v>0.28558756270746544</v>
      </c>
    </row>
    <row r="248" spans="1:23" ht="15" customHeight="1" x14ac:dyDescent="0.25">
      <c r="A248">
        <f>-'Range Analysis'!$F$5+15*$B$232</f>
        <v>-0.46153846153846168</v>
      </c>
      <c r="C248">
        <f>NORMDIST($A$248,0,'Range Analysis'!$F$7,FALSE())*(NORMDIST((('Range Analysis'!$F$5-0.98*'Range Analysis'!G24)-$A$248)/('Range Analysis'!G24/2),0,1,TRUE())-NORMDIST((-('Range Analysis'!$F$5-0.98*'Range Analysis'!G24)-$A$248)/('Range Analysis'!G24/2),0,1,TRUE()))</f>
        <v>0.25806104161113674</v>
      </c>
      <c r="D248">
        <f>NORMDIST($A$248,0,'Range Analysis'!$F$7,FALSE())*(NORMDIST((('Range Analysis'!$F$5-0.98*'Range Analysis'!G25)-$A$248)/('Range Analysis'!G25/2),0,1,TRUE())-NORMDIST((-('Range Analysis'!$F$5-0.98*'Range Analysis'!G25)-$A$248)/('Range Analysis'!G25/2),0,1,TRUE()))</f>
        <v>0.29680618443949108</v>
      </c>
      <c r="E248">
        <f>NORMDIST($A$248,0,'Range Analysis'!$F$7,FALSE())*(NORMDIST((('Range Analysis'!$F$5-0.98*'Range Analysis'!G26)-$A$248)/('Range Analysis'!G26/2),0,1,TRUE())-NORMDIST((-('Range Analysis'!$F$5-0.98*'Range Analysis'!G26)-$A$248)/('Range Analysis'!G26/2),0,1,TRUE()))</f>
        <v>0.2976041500644227</v>
      </c>
      <c r="F248">
        <f>NORMDIST($A$248,0,'Range Analysis'!$F$7,FALSE())*(NORMDIST((('Range Analysis'!$F$5-0.98*'Range Analysis'!G27)-$A$248)/('Range Analysis'!G27/2),0,1,TRUE())-NORMDIST((-('Range Analysis'!$F$5-0.98*'Range Analysis'!G27)-$A$248)/('Range Analysis'!G27/2),0,1,TRUE()))</f>
        <v>0.29783256129323116</v>
      </c>
      <c r="G248">
        <f>NORMDIST($A$248,0,'Range Analysis'!$F$7,FALSE())*(NORMDIST((('Range Analysis'!$F$5-0.98*'Range Analysis'!G28)-$A$248)/('Range Analysis'!G28/2),0,1,TRUE())-NORMDIST((-('Range Analysis'!$F$5-0.98*'Range Analysis'!G28)-$A$248)/('Range Analysis'!G28/2),0,1,TRUE()))</f>
        <v>0.29783256276859438</v>
      </c>
      <c r="H248">
        <f>NORMDIST($A$248,0,'Range Analysis'!$F$7,FALSE())*(NORMDIST((('Range Analysis'!$F$5-0.98*'Range Analysis'!G29)-$A$248)/('Range Analysis'!G29/2),0,1,TRUE())-NORMDIST((-('Range Analysis'!$F$5-0.98*'Range Analysis'!G29)-$A$248)/('Range Analysis'!G29/2),0,1,TRUE()))</f>
        <v>0.25806104161113674</v>
      </c>
      <c r="I248">
        <f>NORMDIST($A$248,0,'Range Analysis'!$F$7,FALSE())*(NORMDIST((('Range Analysis'!$F$5-0.98*'Range Analysis'!G30)-$A$248)/('Range Analysis'!G30/2),0,1,TRUE())-NORMDIST((-('Range Analysis'!$F$5-0.98*'Range Analysis'!G30)-$A$248)/('Range Analysis'!G30/2),0,1,TRUE()))</f>
        <v>0.21177033362927411</v>
      </c>
      <c r="J248">
        <f>NORMDIST($A$248,0,'Range Analysis'!$F$7,FALSE())*(NORMDIST((('Range Analysis'!$F$5-IF('Range Analysis'!H24&lt;=0,0,'Range Analysis'!G24*MAX(0,1.04-EXP(0.38*LN('Range Analysis'!H24)-0.54))))-$A$248)/('Range Analysis'!G24/2),0,1,TRUE())-NORMDIST((-('Range Analysis'!$F$5-IF('Range Analysis'!H24&lt;=0,0,'Range Analysis'!G24*MAX(0,1.04-EXP(0.38*LN('Range Analysis'!H24)-0.54))))-$A$248)/('Range Analysis'!G24/2),0,1,TRUE()))</f>
        <v>0.29605115050484992</v>
      </c>
      <c r="K248">
        <f>NORMDIST($A$248,0,'Range Analysis'!$F$7,FALSE())*(NORMDIST((('Range Analysis'!$F$5-IF('Range Analysis'!H25&lt;=0,0,'Range Analysis'!G25*MAX(0,1.04-EXP(0.38*LN('Range Analysis'!H25)-0.54))))-$A$248)/('Range Analysis'!G25/2),0,1,TRUE())-NORMDIST((-('Range Analysis'!$F$5-IF('Range Analysis'!H25&lt;=0,0,'Range Analysis'!G25*MAX(0,1.04-EXP(0.38*LN('Range Analysis'!H25)-0.54))))-$A$248)/('Range Analysis'!G25/2),0,1,TRUE()))</f>
        <v>0.29783060938308986</v>
      </c>
      <c r="L248">
        <f>NORMDIST($A$248,0,'Range Analysis'!$F$7,FALSE())*(NORMDIST((('Range Analysis'!$F$5-IF('Range Analysis'!H26&lt;=0,0,'Range Analysis'!G26*MAX(0,1.04-EXP(0.38*LN('Range Analysis'!H26)-0.54))))-$A$248)/('Range Analysis'!G26/2),0,1,TRUE())-NORMDIST((-('Range Analysis'!$F$5-IF('Range Analysis'!H26&lt;=0,0,'Range Analysis'!G26*MAX(0,1.04-EXP(0.38*LN('Range Analysis'!H26)-0.54))))-$A$248)/('Range Analysis'!G26/2),0,1,TRUE()))</f>
        <v>0.29783241248973441</v>
      </c>
      <c r="M248">
        <f>NORMDIST($A$248,0,'Range Analysis'!$F$7,FALSE())*(NORMDIST((('Range Analysis'!$F$5-IF('Range Analysis'!H27&lt;=0,0,'Range Analysis'!G27*MAX(0,1.04-EXP(0.38*LN('Range Analysis'!H27)-0.54))))-$A$248)/('Range Analysis'!G27/2),0,1,TRUE())-NORMDIST((-('Range Analysis'!$F$5-IF('Range Analysis'!H27&lt;=0,0,'Range Analysis'!G27*MAX(0,1.04-EXP(0.38*LN('Range Analysis'!H27)-0.54))))-$A$248)/('Range Analysis'!G27/2),0,1,TRUE()))</f>
        <v>0.29783256276859221</v>
      </c>
      <c r="N248">
        <f>NORMDIST($A$248,0,'Range Analysis'!$F$7,FALSE())*(NORMDIST((('Range Analysis'!$F$5-IF('Range Analysis'!H28&lt;=0,0,'Range Analysis'!G28*MAX(0,1.04-EXP(0.38*LN('Range Analysis'!H28)-0.54))))-$A$248)/('Range Analysis'!G28/2),0,1,TRUE())-NORMDIST((-('Range Analysis'!$F$5-IF('Range Analysis'!H28&lt;=0,0,'Range Analysis'!G28*MAX(0,1.04-EXP(0.38*LN('Range Analysis'!H28)-0.54))))-$A$248)/('Range Analysis'!G28/2),0,1,TRUE()))</f>
        <v>0.29783256276859438</v>
      </c>
      <c r="O248">
        <f>NORMDIST($A$248,0,'Range Analysis'!$F$7,FALSE())*(NORMDIST((('Range Analysis'!$F$5-IF('Range Analysis'!H29&lt;=0,0,'Range Analysis'!G29*MAX(0,1.04-EXP(0.38*LN('Range Analysis'!H29)-0.54))))-$A$248)/('Range Analysis'!G29/2),0,1,TRUE())-NORMDIST((-('Range Analysis'!$F$5-IF('Range Analysis'!H29&lt;=0,0,'Range Analysis'!G29*MAX(0,1.04-EXP(0.38*LN('Range Analysis'!H29)-0.54))))-$A$248)/('Range Analysis'!G29/2),0,1,TRUE()))</f>
        <v>0.29605115050484992</v>
      </c>
      <c r="P248">
        <f>NORMDIST($A$248,0,'Range Analysis'!$F$7,FALSE())*(NORMDIST((('Range Analysis'!$F$5-IF('Range Analysis'!H30&lt;=0,0,'Range Analysis'!G30*MAX(0,1.04-EXP(0.38*LN('Range Analysis'!H30)-0.54))))-$A$248)/('Range Analysis'!G30/2),0,1,TRUE())-NORMDIST((-('Range Analysis'!$F$5-IF('Range Analysis'!H30&lt;=0,0,'Range Analysis'!G30*MAX(0,1.04-EXP(0.38*LN('Range Analysis'!H30)-0.54))))-$A$248)/('Range Analysis'!G30/2),0,1,TRUE()))</f>
        <v>0.28917857236290034</v>
      </c>
      <c r="Q248">
        <f>NORMDIST($A$248,0,'Range Analysis'!$F$7,FALSE())*(NORMDIST(('Range Analysis'!$F$5-$A$248)/('Range Analysis'!G24/2),0,1,TRUE())-NORMDIST((-'Range Analysis'!$F$5-$A$248)/('Range Analysis'!G24/2),0,1,TRUE()))</f>
        <v>0.29752097859139931</v>
      </c>
      <c r="R248">
        <f>NORMDIST($A$248,0,'Range Analysis'!$F$7,FALSE())*(NORMDIST(('Range Analysis'!$F$5-$A$248)/('Range Analysis'!G25/2),0,1,TRUE())-NORMDIST((-'Range Analysis'!$F$5-$A$248)/('Range Analysis'!G25/2),0,1,TRUE()))</f>
        <v>0.29783209644603931</v>
      </c>
      <c r="S248">
        <f>NORMDIST($A$248,0,'Range Analysis'!$F$7,FALSE())*(NORMDIST(('Range Analysis'!$F$5-$A$248)/('Range Analysis'!G26/2),0,1,TRUE())-NORMDIST((-'Range Analysis'!$F$5-$A$248)/('Range Analysis'!G26/2),0,1,TRUE()))</f>
        <v>0.29783251920795817</v>
      </c>
      <c r="T248">
        <f>NORMDIST($A$248,0,'Range Analysis'!$F$7,FALSE())*(NORMDIST(('Range Analysis'!$F$5-$A$248)/('Range Analysis'!G27/2),0,1,TRUE())-NORMDIST((-'Range Analysis'!$F$5-$A$248)/('Range Analysis'!G27/2),0,1,TRUE()))</f>
        <v>0.29783256276859221</v>
      </c>
      <c r="U248">
        <f>NORMDIST($A$248,0,'Range Analysis'!$F$7,FALSE())*(NORMDIST(('Range Analysis'!$F$5-$A$248)/('Range Analysis'!G28/2),0,1,TRUE())-NORMDIST((-'Range Analysis'!$F$5-$A$248)/('Range Analysis'!G28/2),0,1,TRUE()))</f>
        <v>0.29783256276859438</v>
      </c>
      <c r="V248">
        <f>NORMDIST($A$248,0,'Range Analysis'!$F$7,FALSE())*(NORMDIST(('Range Analysis'!$F$5-$A$248)/('Range Analysis'!G29/2),0,1,TRUE())-NORMDIST((-'Range Analysis'!$F$5-$A$248)/('Range Analysis'!G29/2),0,1,TRUE()))</f>
        <v>0.29752097859139931</v>
      </c>
      <c r="W248">
        <f>NORMDIST($A$248,0,'Range Analysis'!$F$7,FALSE())*(NORMDIST((('Range Analysis'!$F$5-0)-$A$248)/('Range Analysis'!G30/2),0,1,TRUE())-NORMDIST((-('Range Analysis'!$F$5-0)-$A$248)/('Range Analysis'!G30/2),0,1,TRUE()))</f>
        <v>0.29628604382697038</v>
      </c>
    </row>
    <row r="249" spans="1:23" ht="15" customHeight="1" x14ac:dyDescent="0.25">
      <c r="A249">
        <f>-'Range Analysis'!$F$5+16*$B$232</f>
        <v>-0.35897435897435903</v>
      </c>
      <c r="C249">
        <f>NORMDIST($A$249,0,'Range Analysis'!$F$7,FALSE())*(NORMDIST((('Range Analysis'!$F$5-0.98*'Range Analysis'!G24)-$A$249)/('Range Analysis'!G24/2),0,1,TRUE())-NORMDIST((-('Range Analysis'!$F$5-0.98*'Range Analysis'!G24)-$A$249)/('Range Analysis'!G24/2),0,1,TRUE()))</f>
        <v>0.27657784532999785</v>
      </c>
      <c r="D249">
        <f>NORMDIST($A$249,0,'Range Analysis'!$F$7,FALSE())*(NORMDIST((('Range Analysis'!$F$5-0.98*'Range Analysis'!G25)-$A$249)/('Range Analysis'!G25/2),0,1,TRUE())-NORMDIST((-('Range Analysis'!$F$5-0.98*'Range Analysis'!G25)-$A$249)/('Range Analysis'!G25/2),0,1,TRUE()))</f>
        <v>0.30554747010101174</v>
      </c>
      <c r="E249">
        <f>NORMDIST($A$249,0,'Range Analysis'!$F$7,FALSE())*(NORMDIST((('Range Analysis'!$F$5-0.98*'Range Analysis'!G26)-$A$249)/('Range Analysis'!G26/2),0,1,TRUE())-NORMDIST((-('Range Analysis'!$F$5-0.98*'Range Analysis'!G26)-$A$249)/('Range Analysis'!G26/2),0,1,TRUE()))</f>
        <v>0.30587493636873969</v>
      </c>
      <c r="F249">
        <f>NORMDIST($A$249,0,'Range Analysis'!$F$7,FALSE())*(NORMDIST((('Range Analysis'!$F$5-0.98*'Range Analysis'!G27)-$A$249)/('Range Analysis'!G27/2),0,1,TRUE())-NORMDIST((-('Range Analysis'!$F$5-0.98*'Range Analysis'!G27)-$A$249)/('Range Analysis'!G27/2),0,1,TRUE()))</f>
        <v>0.3059434624754403</v>
      </c>
      <c r="G249">
        <f>NORMDIST($A$249,0,'Range Analysis'!$F$7,FALSE())*(NORMDIST((('Range Analysis'!$F$5-0.98*'Range Analysis'!G28)-$A$249)/('Range Analysis'!G28/2),0,1,TRUE())-NORMDIST((-('Range Analysis'!$F$5-0.98*'Range Analysis'!G28)-$A$249)/('Range Analysis'!G28/2),0,1,TRUE()))</f>
        <v>0.30594346254021659</v>
      </c>
      <c r="H249">
        <f>NORMDIST($A$249,0,'Range Analysis'!$F$7,FALSE())*(NORMDIST((('Range Analysis'!$F$5-0.98*'Range Analysis'!G29)-$A$249)/('Range Analysis'!G29/2),0,1,TRUE())-NORMDIST((-('Range Analysis'!$F$5-0.98*'Range Analysis'!G29)-$A$249)/('Range Analysis'!G29/2),0,1,TRUE()))</f>
        <v>0.27657784532999785</v>
      </c>
      <c r="I249">
        <f>NORMDIST($A$249,0,'Range Analysis'!$F$7,FALSE())*(NORMDIST((('Range Analysis'!$F$5-0.98*'Range Analysis'!G30)-$A$249)/('Range Analysis'!G30/2),0,1,TRUE())-NORMDIST((-('Range Analysis'!$F$5-0.98*'Range Analysis'!G30)-$A$249)/('Range Analysis'!G30/2),0,1,TRUE()))</f>
        <v>0.23145128345840763</v>
      </c>
      <c r="J249">
        <f>NORMDIST($A$249,0,'Range Analysis'!$F$7,FALSE())*(NORMDIST((('Range Analysis'!$F$5-IF('Range Analysis'!H24&lt;=0,0,'Range Analysis'!G24*MAX(0,1.04-EXP(0.38*LN('Range Analysis'!H24)-0.54))))-$A$249)/('Range Analysis'!G24/2),0,1,TRUE())-NORMDIST((-('Range Analysis'!$F$5-IF('Range Analysis'!H24&lt;=0,0,'Range Analysis'!G24*MAX(0,1.04-EXP(0.38*LN('Range Analysis'!H24)-0.54))))-$A$249)/('Range Analysis'!G24/2),0,1,TRUE()))</f>
        <v>0.30493610121673104</v>
      </c>
      <c r="K249">
        <f>NORMDIST($A$249,0,'Range Analysis'!$F$7,FALSE())*(NORMDIST((('Range Analysis'!$F$5-IF('Range Analysis'!H25&lt;=0,0,'Range Analysis'!G25*MAX(0,1.04-EXP(0.38*LN('Range Analysis'!H25)-0.54))))-$A$249)/('Range Analysis'!G25/2),0,1,TRUE())-NORMDIST((-('Range Analysis'!$F$5-IF('Range Analysis'!H25&lt;=0,0,'Range Analysis'!G25*MAX(0,1.04-EXP(0.38*LN('Range Analysis'!H25)-0.54))))-$A$249)/('Range Analysis'!G25/2),0,1,TRUE()))</f>
        <v>0.3059429994024585</v>
      </c>
      <c r="L249">
        <f>NORMDIST($A$249,0,'Range Analysis'!$F$7,FALSE())*(NORMDIST((('Range Analysis'!$F$5-IF('Range Analysis'!H26&lt;=0,0,'Range Analysis'!G26*MAX(0,1.04-EXP(0.38*LN('Range Analysis'!H26)-0.54))))-$A$249)/('Range Analysis'!G26/2),0,1,TRUE())-NORMDIST((-('Range Analysis'!$F$5-IF('Range Analysis'!H26&lt;=0,0,'Range Analysis'!G26*MAX(0,1.04-EXP(0.38*LN('Range Analysis'!H26)-0.54))))-$A$249)/('Range Analysis'!G26/2),0,1,TRUE()))</f>
        <v>0.30594343685099412</v>
      </c>
      <c r="M249">
        <f>NORMDIST($A$249,0,'Range Analysis'!$F$7,FALSE())*(NORMDIST((('Range Analysis'!$F$5-IF('Range Analysis'!H27&lt;=0,0,'Range Analysis'!G27*MAX(0,1.04-EXP(0.38*LN('Range Analysis'!H27)-0.54))))-$A$249)/('Range Analysis'!G27/2),0,1,TRUE())-NORMDIST((-('Range Analysis'!$F$5-IF('Range Analysis'!H27&lt;=0,0,'Range Analysis'!G27*MAX(0,1.04-EXP(0.38*LN('Range Analysis'!H27)-0.54))))-$A$249)/('Range Analysis'!G27/2),0,1,TRUE()))</f>
        <v>0.30594346254021654</v>
      </c>
      <c r="N249">
        <f>NORMDIST($A$249,0,'Range Analysis'!$F$7,FALSE())*(NORMDIST((('Range Analysis'!$F$5-IF('Range Analysis'!H28&lt;=0,0,'Range Analysis'!G28*MAX(0,1.04-EXP(0.38*LN('Range Analysis'!H28)-0.54))))-$A$249)/('Range Analysis'!G28/2),0,1,TRUE())-NORMDIST((-('Range Analysis'!$F$5-IF('Range Analysis'!H28&lt;=0,0,'Range Analysis'!G28*MAX(0,1.04-EXP(0.38*LN('Range Analysis'!H28)-0.54))))-$A$249)/('Range Analysis'!G28/2),0,1,TRUE()))</f>
        <v>0.30594346254021659</v>
      </c>
      <c r="O249">
        <f>NORMDIST($A$249,0,'Range Analysis'!$F$7,FALSE())*(NORMDIST((('Range Analysis'!$F$5-IF('Range Analysis'!H29&lt;=0,0,'Range Analysis'!G29*MAX(0,1.04-EXP(0.38*LN('Range Analysis'!H29)-0.54))))-$A$249)/('Range Analysis'!G29/2),0,1,TRUE())-NORMDIST((-('Range Analysis'!$F$5-IF('Range Analysis'!H29&lt;=0,0,'Range Analysis'!G29*MAX(0,1.04-EXP(0.38*LN('Range Analysis'!H29)-0.54))))-$A$249)/('Range Analysis'!G29/2),0,1,TRUE()))</f>
        <v>0.30493610121673104</v>
      </c>
      <c r="P249">
        <f>NORMDIST($A$249,0,'Range Analysis'!$F$7,FALSE())*(NORMDIST((('Range Analysis'!$F$5-IF('Range Analysis'!H30&lt;=0,0,'Range Analysis'!G30*MAX(0,1.04-EXP(0.38*LN('Range Analysis'!H30)-0.54))))-$A$249)/('Range Analysis'!G30/2),0,1,TRUE())-NORMDIST((-('Range Analysis'!$F$5-IF('Range Analysis'!H30&lt;=0,0,'Range Analysis'!G30*MAX(0,1.04-EXP(0.38*LN('Range Analysis'!H30)-0.54))))-$A$249)/('Range Analysis'!G30/2),0,1,TRUE()))</f>
        <v>0.2998982333076628</v>
      </c>
      <c r="Q249">
        <f>NORMDIST($A$249,0,'Range Analysis'!$F$7,FALSE())*(NORMDIST(('Range Analysis'!$F$5-$A$249)/('Range Analysis'!G24/2),0,1,TRUE())-NORMDIST((-'Range Analysis'!$F$5-$A$249)/('Range Analysis'!G24/2),0,1,TRUE()))</f>
        <v>0.30578545330353935</v>
      </c>
      <c r="R249">
        <f>NORMDIST($A$249,0,'Range Analysis'!$F$7,FALSE())*(NORMDIST(('Range Analysis'!$F$5-$A$249)/('Range Analysis'!G25/2),0,1,TRUE())-NORMDIST((-'Range Analysis'!$F$5-$A$249)/('Range Analysis'!G25/2),0,1,TRUE()))</f>
        <v>0.30594336159244451</v>
      </c>
      <c r="S249">
        <f>NORMDIST($A$249,0,'Range Analysis'!$F$7,FALSE())*(NORMDIST(('Range Analysis'!$F$5-$A$249)/('Range Analysis'!G26/2),0,1,TRUE())-NORMDIST((-'Range Analysis'!$F$5-$A$249)/('Range Analysis'!G26/2),0,1,TRUE()))</f>
        <v>0.30594345565926295</v>
      </c>
      <c r="T249">
        <f>NORMDIST($A$249,0,'Range Analysis'!$F$7,FALSE())*(NORMDIST(('Range Analysis'!$F$5-$A$249)/('Range Analysis'!G27/2),0,1,TRUE())-NORMDIST((-'Range Analysis'!$F$5-$A$249)/('Range Analysis'!G27/2),0,1,TRUE()))</f>
        <v>0.30594346254021654</v>
      </c>
      <c r="U249">
        <f>NORMDIST($A$249,0,'Range Analysis'!$F$7,FALSE())*(NORMDIST(('Range Analysis'!$F$5-$A$249)/('Range Analysis'!G28/2),0,1,TRUE())-NORMDIST((-'Range Analysis'!$F$5-$A$249)/('Range Analysis'!G28/2),0,1,TRUE()))</f>
        <v>0.30594346254021659</v>
      </c>
      <c r="V249">
        <f>NORMDIST($A$249,0,'Range Analysis'!$F$7,FALSE())*(NORMDIST(('Range Analysis'!$F$5-$A$249)/('Range Analysis'!G29/2),0,1,TRUE())-NORMDIST((-'Range Analysis'!$F$5-$A$249)/('Range Analysis'!G29/2),0,1,TRUE()))</f>
        <v>0.30578545330353935</v>
      </c>
      <c r="W249">
        <f>NORMDIST($A$249,0,'Range Analysis'!$F$7,FALSE())*(NORMDIST((('Range Analysis'!$F$5-0)-$A$249)/('Range Analysis'!G30/2),0,1,TRUE())-NORMDIST((-('Range Analysis'!$F$5-0)-$A$249)/('Range Analysis'!G30/2),0,1,TRUE()))</f>
        <v>0.30497643770320204</v>
      </c>
    </row>
    <row r="250" spans="1:23" ht="15" customHeight="1" x14ac:dyDescent="0.25">
      <c r="A250">
        <f>-'Range Analysis'!$F$5+17*$B$232</f>
        <v>-0.25641025641025639</v>
      </c>
      <c r="C250">
        <f>NORMDIST($A$250,0,'Range Analysis'!$F$7,FALSE())*(NORMDIST((('Range Analysis'!$F$5-0.98*'Range Analysis'!G24)-$A$250)/('Range Analysis'!G24/2),0,1,TRUE())-NORMDIST((-('Range Analysis'!$F$5-0.98*'Range Analysis'!G24)-$A$250)/('Range Analysis'!G24/2),0,1,TRUE()))</f>
        <v>0.29072481358700469</v>
      </c>
      <c r="D250">
        <f>NORMDIST($A$250,0,'Range Analysis'!$F$7,FALSE())*(NORMDIST((('Range Analysis'!$F$5-0.98*'Range Analysis'!G25)-$A$250)/('Range Analysis'!G25/2),0,1,TRUE())-NORMDIST((-('Range Analysis'!$F$5-0.98*'Range Analysis'!G25)-$A$250)/('Range Analysis'!G25/2),0,1,TRUE()))</f>
        <v>0.3120323986159157</v>
      </c>
      <c r="E250">
        <f>NORMDIST($A$250,0,'Range Analysis'!$F$7,FALSE())*(NORMDIST((('Range Analysis'!$F$5-0.98*'Range Analysis'!G26)-$A$250)/('Range Analysis'!G26/2),0,1,TRUE())-NORMDIST((-('Range Analysis'!$F$5-0.98*'Range Analysis'!G26)-$A$250)/('Range Analysis'!G26/2),0,1,TRUE()))</f>
        <v>0.31215297357888949</v>
      </c>
      <c r="F250">
        <f>NORMDIST($A$250,0,'Range Analysis'!$F$7,FALSE())*(NORMDIST((('Range Analysis'!$F$5-0.98*'Range Analysis'!G27)-$A$250)/('Range Analysis'!G27/2),0,1,TRUE())-NORMDIST((-('Range Analysis'!$F$5-0.98*'Range Analysis'!G27)-$A$250)/('Range Analysis'!G27/2),0,1,TRUE()))</f>
        <v>0.31217126683662666</v>
      </c>
      <c r="G250">
        <f>NORMDIST($A$250,0,'Range Analysis'!$F$7,FALSE())*(NORMDIST((('Range Analysis'!$F$5-0.98*'Range Analysis'!G28)-$A$250)/('Range Analysis'!G28/2),0,1,TRUE())-NORMDIST((-('Range Analysis'!$F$5-0.98*'Range Analysis'!G28)-$A$250)/('Range Analysis'!G28/2),0,1,TRUE()))</f>
        <v>0.31217126683881125</v>
      </c>
      <c r="H250">
        <f>NORMDIST($A$250,0,'Range Analysis'!$F$7,FALSE())*(NORMDIST((('Range Analysis'!$F$5-0.98*'Range Analysis'!G29)-$A$250)/('Range Analysis'!G29/2),0,1,TRUE())-NORMDIST((-('Range Analysis'!$F$5-0.98*'Range Analysis'!G29)-$A$250)/('Range Analysis'!G29/2),0,1,TRUE()))</f>
        <v>0.29072481358700469</v>
      </c>
      <c r="I250">
        <f>NORMDIST($A$250,0,'Range Analysis'!$F$7,FALSE())*(NORMDIST((('Range Analysis'!$F$5-0.98*'Range Analysis'!G30)-$A$250)/('Range Analysis'!G30/2),0,1,TRUE())-NORMDIST((-('Range Analysis'!$F$5-0.98*'Range Analysis'!G30)-$A$250)/('Range Analysis'!G30/2),0,1,TRUE()))</f>
        <v>0.2472536842231022</v>
      </c>
      <c r="J250">
        <f>NORMDIST($A$250,0,'Range Analysis'!$F$7,FALSE())*(NORMDIST((('Range Analysis'!$F$5-IF('Range Analysis'!H24&lt;=0,0,'Range Analysis'!G24*MAX(0,1.04-EXP(0.38*LN('Range Analysis'!H24)-0.54))))-$A$250)/('Range Analysis'!G24/2),0,1,TRUE())-NORMDIST((-('Range Analysis'!$F$5-IF('Range Analysis'!H24&lt;=0,0,'Range Analysis'!G24*MAX(0,1.04-EXP(0.38*LN('Range Analysis'!H24)-0.54))))-$A$250)/('Range Analysis'!G24/2),0,1,TRUE()))</f>
        <v>0.31161947506312099</v>
      </c>
      <c r="K250">
        <f>NORMDIST($A$250,0,'Range Analysis'!$F$7,FALSE())*(NORMDIST((('Range Analysis'!$F$5-IF('Range Analysis'!H25&lt;=0,0,'Range Analysis'!G25*MAX(0,1.04-EXP(0.38*LN('Range Analysis'!H25)-0.54))))-$A$250)/('Range Analysis'!G25/2),0,1,TRUE())-NORMDIST((-('Range Analysis'!$F$5-IF('Range Analysis'!H25&lt;=0,0,'Range Analysis'!G25*MAX(0,1.04-EXP(0.38*LN('Range Analysis'!H25)-0.54))))-$A$250)/('Range Analysis'!G25/2),0,1,TRUE()))</f>
        <v>0.31217116744899165</v>
      </c>
      <c r="L250">
        <f>NORMDIST($A$250,0,'Range Analysis'!$F$7,FALSE())*(NORMDIST((('Range Analysis'!$F$5-IF('Range Analysis'!H26&lt;=0,0,'Range Analysis'!G26*MAX(0,1.04-EXP(0.38*LN('Range Analysis'!H26)-0.54))))-$A$250)/('Range Analysis'!G26/2),0,1,TRUE())-NORMDIST((-('Range Analysis'!$F$5-IF('Range Analysis'!H26&lt;=0,0,'Range Analysis'!G26*MAX(0,1.04-EXP(0.38*LN('Range Analysis'!H26)-0.54))))-$A$250)/('Range Analysis'!G26/2),0,1,TRUE()))</f>
        <v>0.312171262944127</v>
      </c>
      <c r="M250">
        <f>NORMDIST($A$250,0,'Range Analysis'!$F$7,FALSE())*(NORMDIST((('Range Analysis'!$F$5-IF('Range Analysis'!H27&lt;=0,0,'Range Analysis'!G27*MAX(0,1.04-EXP(0.38*LN('Range Analysis'!H27)-0.54))))-$A$250)/('Range Analysis'!G27/2),0,1,TRUE())-NORMDIST((-('Range Analysis'!$F$5-IF('Range Analysis'!H27&lt;=0,0,'Range Analysis'!G27*MAX(0,1.04-EXP(0.38*LN('Range Analysis'!H27)-0.54))))-$A$250)/('Range Analysis'!G27/2),0,1,TRUE()))</f>
        <v>0.31217126683881125</v>
      </c>
      <c r="N250">
        <f>NORMDIST($A$250,0,'Range Analysis'!$F$7,FALSE())*(NORMDIST((('Range Analysis'!$F$5-IF('Range Analysis'!H28&lt;=0,0,'Range Analysis'!G28*MAX(0,1.04-EXP(0.38*LN('Range Analysis'!H28)-0.54))))-$A$250)/('Range Analysis'!G28/2),0,1,TRUE())-NORMDIST((-('Range Analysis'!$F$5-IF('Range Analysis'!H28&lt;=0,0,'Range Analysis'!G28*MAX(0,1.04-EXP(0.38*LN('Range Analysis'!H28)-0.54))))-$A$250)/('Range Analysis'!G28/2),0,1,TRUE()))</f>
        <v>0.31217126683881125</v>
      </c>
      <c r="O250">
        <f>NORMDIST($A$250,0,'Range Analysis'!$F$7,FALSE())*(NORMDIST((('Range Analysis'!$F$5-IF('Range Analysis'!H29&lt;=0,0,'Range Analysis'!G29*MAX(0,1.04-EXP(0.38*LN('Range Analysis'!H29)-0.54))))-$A$250)/('Range Analysis'!G29/2),0,1,TRUE())-NORMDIST((-('Range Analysis'!$F$5-IF('Range Analysis'!H29&lt;=0,0,'Range Analysis'!G29*MAX(0,1.04-EXP(0.38*LN('Range Analysis'!H29)-0.54))))-$A$250)/('Range Analysis'!G29/2),0,1,TRUE()))</f>
        <v>0.31161947506312099</v>
      </c>
      <c r="P250">
        <f>NORMDIST($A$250,0,'Range Analysis'!$F$7,FALSE())*(NORMDIST((('Range Analysis'!$F$5-IF('Range Analysis'!H30&lt;=0,0,'Range Analysis'!G30*MAX(0,1.04-EXP(0.38*LN('Range Analysis'!H30)-0.54))))-$A$250)/('Range Analysis'!G30/2),0,1,TRUE())-NORMDIST((-('Range Analysis'!$F$5-IF('Range Analysis'!H30&lt;=0,0,'Range Analysis'!G30*MAX(0,1.04-EXP(0.38*LN('Range Analysis'!H30)-0.54))))-$A$250)/('Range Analysis'!G30/2),0,1,TRUE()))</f>
        <v>0.30796046558549062</v>
      </c>
      <c r="Q250">
        <f>NORMDIST($A$250,0,'Range Analysis'!$F$7,FALSE())*(NORMDIST(('Range Analysis'!$F$5-$A$250)/('Range Analysis'!G24/2),0,1,TRUE())-NORMDIST((-'Range Analysis'!$F$5-$A$250)/('Range Analysis'!G24/2),0,1,TRUE()))</f>
        <v>0.31209407613265655</v>
      </c>
      <c r="R250">
        <f>NORMDIST($A$250,0,'Range Analysis'!$F$7,FALSE())*(NORMDIST(('Range Analysis'!$F$5-$A$250)/('Range Analysis'!G25/2),0,1,TRUE())-NORMDIST((-'Range Analysis'!$F$5-$A$250)/('Range Analysis'!G25/2),0,1,TRUE()))</f>
        <v>0.31217124706680943</v>
      </c>
      <c r="S250">
        <f>NORMDIST($A$250,0,'Range Analysis'!$F$7,FALSE())*(NORMDIST(('Range Analysis'!$F$5-$A$250)/('Range Analysis'!G26/2),0,1,TRUE())-NORMDIST((-'Range Analysis'!$F$5-$A$250)/('Range Analysis'!G26/2),0,1,TRUE()))</f>
        <v>0.31217126587507621</v>
      </c>
      <c r="T250">
        <f>NORMDIST($A$250,0,'Range Analysis'!$F$7,FALSE())*(NORMDIST(('Range Analysis'!$F$5-$A$250)/('Range Analysis'!G27/2),0,1,TRUE())-NORMDIST((-'Range Analysis'!$F$5-$A$250)/('Range Analysis'!G27/2),0,1,TRUE()))</f>
        <v>0.31217126683881125</v>
      </c>
      <c r="U250">
        <f>NORMDIST($A$250,0,'Range Analysis'!$F$7,FALSE())*(NORMDIST(('Range Analysis'!$F$5-$A$250)/('Range Analysis'!G28/2),0,1,TRUE())-NORMDIST((-'Range Analysis'!$F$5-$A$250)/('Range Analysis'!G28/2),0,1,TRUE()))</f>
        <v>0.31217126683881125</v>
      </c>
      <c r="V250">
        <f>NORMDIST($A$250,0,'Range Analysis'!$F$7,FALSE())*(NORMDIST(('Range Analysis'!$F$5-$A$250)/('Range Analysis'!G29/2),0,1,TRUE())-NORMDIST((-'Range Analysis'!$F$5-$A$250)/('Range Analysis'!G29/2),0,1,TRUE()))</f>
        <v>0.31209407613265655</v>
      </c>
      <c r="W250">
        <f>NORMDIST($A$250,0,'Range Analysis'!$F$7,FALSE())*(NORMDIST((('Range Analysis'!$F$5-0)-$A$250)/('Range Analysis'!G30/2),0,1,TRUE())-NORMDIST((-('Range Analysis'!$F$5-0)-$A$250)/('Range Analysis'!G30/2),0,1,TRUE()))</f>
        <v>0.31157338643465338</v>
      </c>
    </row>
    <row r="251" spans="1:23" ht="15" customHeight="1" x14ac:dyDescent="0.25">
      <c r="A251">
        <f>-'Range Analysis'!$F$5+18*$B$232</f>
        <v>-0.15384615384615397</v>
      </c>
      <c r="C251">
        <f>NORMDIST($A$251,0,'Range Analysis'!$F$7,FALSE())*(NORMDIST((('Range Analysis'!$F$5-0.98*'Range Analysis'!G24)-$A$251)/('Range Analysis'!G24/2),0,1,TRUE())-NORMDIST((-('Range Analysis'!$F$5-0.98*'Range Analysis'!G24)-$A$251)/('Range Analysis'!G24/2),0,1,TRUE()))</f>
        <v>0.30024011458161209</v>
      </c>
      <c r="D251">
        <f>NORMDIST($A$251,0,'Range Analysis'!$F$7,FALSE())*(NORMDIST((('Range Analysis'!$F$5-0.98*'Range Analysis'!G25)-$A$251)/('Range Analysis'!G25/2),0,1,TRUE())-NORMDIST((-('Range Analysis'!$F$5-0.98*'Range Analysis'!G25)-$A$251)/('Range Analysis'!G25/2),0,1,TRUE()))</f>
        <v>0.31634854737942464</v>
      </c>
      <c r="E251">
        <f>NORMDIST($A$251,0,'Range Analysis'!$F$7,FALSE())*(NORMDIST((('Range Analysis'!$F$5-0.98*'Range Analysis'!G26)-$A$251)/('Range Analysis'!G26/2),0,1,TRUE())-NORMDIST((-('Range Analysis'!$F$5-0.98*'Range Analysis'!G26)-$A$251)/('Range Analysis'!G26/2),0,1,TRUE()))</f>
        <v>0.3163890407585912</v>
      </c>
      <c r="F251">
        <f>NORMDIST($A$251,0,'Range Analysis'!$F$7,FALSE())*(NORMDIST((('Range Analysis'!$F$5-0.98*'Range Analysis'!G27)-$A$251)/('Range Analysis'!G27/2),0,1,TRUE())-NORMDIST((-('Range Analysis'!$F$5-0.98*'Range Analysis'!G27)-$A$251)/('Range Analysis'!G27/2),0,1,TRUE()))</f>
        <v>0.31639340790860399</v>
      </c>
      <c r="G251">
        <f>NORMDIST($A$251,0,'Range Analysis'!$F$7,FALSE())*(NORMDIST((('Range Analysis'!$F$5-0.98*'Range Analysis'!G28)-$A$251)/('Range Analysis'!G28/2),0,1,TRUE())-NORMDIST((-('Range Analysis'!$F$5-0.98*'Range Analysis'!G28)-$A$251)/('Range Analysis'!G28/2),0,1,TRUE()))</f>
        <v>0.31639340790866055</v>
      </c>
      <c r="H251">
        <f>NORMDIST($A$251,0,'Range Analysis'!$F$7,FALSE())*(NORMDIST((('Range Analysis'!$F$5-0.98*'Range Analysis'!G29)-$A$251)/('Range Analysis'!G29/2),0,1,TRUE())-NORMDIST((-('Range Analysis'!$F$5-0.98*'Range Analysis'!G29)-$A$251)/('Range Analysis'!G29/2),0,1,TRUE()))</f>
        <v>0.30024011458161209</v>
      </c>
      <c r="I251">
        <f>NORMDIST($A$251,0,'Range Analysis'!$F$7,FALSE())*(NORMDIST((('Range Analysis'!$F$5-0.98*'Range Analysis'!G30)-$A$251)/('Range Analysis'!G30/2),0,1,TRUE())-NORMDIST((-('Range Analysis'!$F$5-0.98*'Range Analysis'!G30)-$A$251)/('Range Analysis'!G30/2),0,1,TRUE()))</f>
        <v>0.25830628066333694</v>
      </c>
      <c r="J251">
        <f>NORMDIST($A$251,0,'Range Analysis'!$F$7,FALSE())*(NORMDIST((('Range Analysis'!$F$5-IF('Range Analysis'!H24&lt;=0,0,'Range Analysis'!G24*MAX(0,1.04-EXP(0.38*LN('Range Analysis'!H24)-0.54))))-$A$251)/('Range Analysis'!G24/2),0,1,TRUE())-NORMDIST((-('Range Analysis'!$F$5-IF('Range Analysis'!H24&lt;=0,0,'Range Analysis'!G24*MAX(0,1.04-EXP(0.38*LN('Range Analysis'!H24)-0.54))))-$A$251)/('Range Analysis'!G24/2),0,1,TRUE()))</f>
        <v>0.31608733757753121</v>
      </c>
      <c r="K251">
        <f>NORMDIST($A$251,0,'Range Analysis'!$F$7,FALSE())*(NORMDIST((('Range Analysis'!$F$5-IF('Range Analysis'!H25&lt;=0,0,'Range Analysis'!G25*MAX(0,1.04-EXP(0.38*LN('Range Analysis'!H25)-0.54))))-$A$251)/('Range Analysis'!G25/2),0,1,TRUE())-NORMDIST((-('Range Analysis'!$F$5-IF('Range Analysis'!H25&lt;=0,0,'Range Analysis'!G25*MAX(0,1.04-EXP(0.38*LN('Range Analysis'!H25)-0.54))))-$A$251)/('Range Analysis'!G25/2),0,1,TRUE()))</f>
        <v>0.31639338853841165</v>
      </c>
      <c r="L251">
        <f>NORMDIST($A$251,0,'Range Analysis'!$F$7,FALSE())*(NORMDIST((('Range Analysis'!$F$5-IF('Range Analysis'!H26&lt;=0,0,'Range Analysis'!G26*MAX(0,1.04-EXP(0.38*LN('Range Analysis'!H26)-0.54))))-$A$251)/('Range Analysis'!G26/2),0,1,TRUE())-NORMDIST((-('Range Analysis'!$F$5-IF('Range Analysis'!H26&lt;=0,0,'Range Analysis'!G26*MAX(0,1.04-EXP(0.38*LN('Range Analysis'!H26)-0.54))))-$A$251)/('Range Analysis'!G26/2),0,1,TRUE()))</f>
        <v>0.31639340738457961</v>
      </c>
      <c r="M251">
        <f>NORMDIST($A$251,0,'Range Analysis'!$F$7,FALSE())*(NORMDIST((('Range Analysis'!$F$5-IF('Range Analysis'!H27&lt;=0,0,'Range Analysis'!G27*MAX(0,1.04-EXP(0.38*LN('Range Analysis'!H27)-0.54))))-$A$251)/('Range Analysis'!G27/2),0,1,TRUE())-NORMDIST((-('Range Analysis'!$F$5-IF('Range Analysis'!H27&lt;=0,0,'Range Analysis'!G27*MAX(0,1.04-EXP(0.38*LN('Range Analysis'!H27)-0.54))))-$A$251)/('Range Analysis'!G27/2),0,1,TRUE()))</f>
        <v>0.31639340790866055</v>
      </c>
      <c r="N251">
        <f>NORMDIST($A$251,0,'Range Analysis'!$F$7,FALSE())*(NORMDIST((('Range Analysis'!$F$5-IF('Range Analysis'!H28&lt;=0,0,'Range Analysis'!G28*MAX(0,1.04-EXP(0.38*LN('Range Analysis'!H28)-0.54))))-$A$251)/('Range Analysis'!G28/2),0,1,TRUE())-NORMDIST((-('Range Analysis'!$F$5-IF('Range Analysis'!H28&lt;=0,0,'Range Analysis'!G28*MAX(0,1.04-EXP(0.38*LN('Range Analysis'!H28)-0.54))))-$A$251)/('Range Analysis'!G28/2),0,1,TRUE()))</f>
        <v>0.31639340790866055</v>
      </c>
      <c r="O251">
        <f>NORMDIST($A$251,0,'Range Analysis'!$F$7,FALSE())*(NORMDIST((('Range Analysis'!$F$5-IF('Range Analysis'!H29&lt;=0,0,'Range Analysis'!G29*MAX(0,1.04-EXP(0.38*LN('Range Analysis'!H29)-0.54))))-$A$251)/('Range Analysis'!G29/2),0,1,TRUE())-NORMDIST((-('Range Analysis'!$F$5-IF('Range Analysis'!H29&lt;=0,0,'Range Analysis'!G29*MAX(0,1.04-EXP(0.38*LN('Range Analysis'!H29)-0.54))))-$A$251)/('Range Analysis'!G29/2),0,1,TRUE()))</f>
        <v>0.31608733757753121</v>
      </c>
      <c r="P251">
        <f>NORMDIST($A$251,0,'Range Analysis'!$F$7,FALSE())*(NORMDIST((('Range Analysis'!$F$5-IF('Range Analysis'!H30&lt;=0,0,'Range Analysis'!G30*MAX(0,1.04-EXP(0.38*LN('Range Analysis'!H30)-0.54))))-$A$251)/('Range Analysis'!G30/2),0,1,TRUE())-NORMDIST((-('Range Analysis'!$F$5-IF('Range Analysis'!H30&lt;=0,0,'Range Analysis'!G30*MAX(0,1.04-EXP(0.38*LN('Range Analysis'!H30)-0.54))))-$A$251)/('Range Analysis'!G30/2),0,1,TRUE()))</f>
        <v>0.31333928107856535</v>
      </c>
      <c r="Q251">
        <f>NORMDIST($A$251,0,'Range Analysis'!$F$7,FALSE())*(NORMDIST(('Range Analysis'!$F$5-$A$251)/('Range Analysis'!G24/2),0,1,TRUE())-NORMDIST((-'Range Analysis'!$F$5-$A$251)/('Range Analysis'!G24/2),0,1,TRUE()))</f>
        <v>0.31635564239495517</v>
      </c>
      <c r="R251">
        <f>NORMDIST($A$251,0,'Range Analysis'!$F$7,FALSE())*(NORMDIST(('Range Analysis'!$F$5-$A$251)/('Range Analysis'!G25/2),0,1,TRUE())-NORMDIST((-'Range Analysis'!$F$5-$A$251)/('Range Analysis'!G25/2),0,1,TRUE()))</f>
        <v>0.31639340439589081</v>
      </c>
      <c r="S251">
        <f>NORMDIST($A$251,0,'Range Analysis'!$F$7,FALSE())*(NORMDIST(('Range Analysis'!$F$5-$A$251)/('Range Analysis'!G26/2),0,1,TRUE())-NORMDIST((-'Range Analysis'!$F$5-$A$251)/('Range Analysis'!G26/2),0,1,TRUE()))</f>
        <v>0.31639340778891195</v>
      </c>
      <c r="T251">
        <f>NORMDIST($A$251,0,'Range Analysis'!$F$7,FALSE())*(NORMDIST(('Range Analysis'!$F$5-$A$251)/('Range Analysis'!G27/2),0,1,TRUE())-NORMDIST((-'Range Analysis'!$F$5-$A$251)/('Range Analysis'!G27/2),0,1,TRUE()))</f>
        <v>0.31639340790866055</v>
      </c>
      <c r="U251">
        <f>NORMDIST($A$251,0,'Range Analysis'!$F$7,FALSE())*(NORMDIST(('Range Analysis'!$F$5-$A$251)/('Range Analysis'!G28/2),0,1,TRUE())-NORMDIST((-'Range Analysis'!$F$5-$A$251)/('Range Analysis'!G28/2),0,1,TRUE()))</f>
        <v>0.31639340790866055</v>
      </c>
      <c r="V251">
        <f>NORMDIST($A$251,0,'Range Analysis'!$F$7,FALSE())*(NORMDIST(('Range Analysis'!$F$5-$A$251)/('Range Analysis'!G29/2),0,1,TRUE())-NORMDIST((-'Range Analysis'!$F$5-$A$251)/('Range Analysis'!G29/2),0,1,TRUE()))</f>
        <v>0.31635564239495517</v>
      </c>
      <c r="W251">
        <f>NORMDIST($A$251,0,'Range Analysis'!$F$7,FALSE())*(NORMDIST((('Range Analysis'!$F$5-0)-$A$251)/('Range Analysis'!G30/2),0,1,TRUE())-NORMDIST((-('Range Analysis'!$F$5-0)-$A$251)/('Range Analysis'!G30/2),0,1,TRUE()))</f>
        <v>0.31601017701761913</v>
      </c>
    </row>
    <row r="252" spans="1:23" ht="15" customHeight="1" x14ac:dyDescent="0.25">
      <c r="A252">
        <f>-'Range Analysis'!$F$5+19*$B$232</f>
        <v>-5.1282051282051322E-2</v>
      </c>
      <c r="C252">
        <f>NORMDIST($A$252,0,'Range Analysis'!$F$7,FALSE())*(NORMDIST((('Range Analysis'!$F$5-0.98*'Range Analysis'!G24)-$A$252)/('Range Analysis'!G24/2),0,1,TRUE())-NORMDIST((-('Range Analysis'!$F$5-0.98*'Range Analysis'!G24)-$A$252)/('Range Analysis'!G24/2),0,1,TRUE()))</f>
        <v>0.30501394678954274</v>
      </c>
      <c r="D252">
        <f>NORMDIST($A$252,0,'Range Analysis'!$F$7,FALSE())*(NORMDIST((('Range Analysis'!$F$5-0.98*'Range Analysis'!G25)-$A$252)/('Range Analysis'!G25/2),0,1,TRUE())-NORMDIST((-('Range Analysis'!$F$5-0.98*'Range Analysis'!G25)-$A$252)/('Range Analysis'!G25/2),0,1,TRUE()))</f>
        <v>0.31850983201522376</v>
      </c>
      <c r="E252">
        <f>NORMDIST($A$252,0,'Range Analysis'!$F$7,FALSE())*(NORMDIST((('Range Analysis'!$F$5-0.98*'Range Analysis'!G26)-$A$252)/('Range Analysis'!G26/2),0,1,TRUE())-NORMDIST((-('Range Analysis'!$F$5-0.98*'Range Analysis'!G26)-$A$252)/('Range Analysis'!G26/2),0,1,TRUE()))</f>
        <v>0.31852475943710556</v>
      </c>
      <c r="F252">
        <f>NORMDIST($A$252,0,'Range Analysis'!$F$7,FALSE())*(NORMDIST((('Range Analysis'!$F$5-0.98*'Range Analysis'!G27)-$A$252)/('Range Analysis'!G27/2),0,1,TRUE())-NORMDIST((-('Range Analysis'!$F$5-0.98*'Range Analysis'!G27)-$A$252)/('Range Analysis'!G27/2),0,1,TRUE()))</f>
        <v>0.3185258447120371</v>
      </c>
      <c r="G252">
        <f>NORMDIST($A$252,0,'Range Analysis'!$F$7,FALSE())*(NORMDIST((('Range Analysis'!$F$5-0.98*'Range Analysis'!G28)-$A$252)/('Range Analysis'!G28/2),0,1,TRUE())-NORMDIST((-('Range Analysis'!$F$5-0.98*'Range Analysis'!G28)-$A$252)/('Range Analysis'!G28/2),0,1,TRUE()))</f>
        <v>0.31852584471203821</v>
      </c>
      <c r="H252">
        <f>NORMDIST($A$252,0,'Range Analysis'!$F$7,FALSE())*(NORMDIST((('Range Analysis'!$F$5-0.98*'Range Analysis'!G29)-$A$252)/('Range Analysis'!G29/2),0,1,TRUE())-NORMDIST((-('Range Analysis'!$F$5-0.98*'Range Analysis'!G29)-$A$252)/('Range Analysis'!G29/2),0,1,TRUE()))</f>
        <v>0.30501394678954274</v>
      </c>
      <c r="I252">
        <f>NORMDIST($A$252,0,'Range Analysis'!$F$7,FALSE())*(NORMDIST((('Range Analysis'!$F$5-0.98*'Range Analysis'!G30)-$A$252)/('Range Analysis'!G30/2),0,1,TRUE())-NORMDIST((-('Range Analysis'!$F$5-0.98*'Range Analysis'!G30)-$A$252)/('Range Analysis'!G30/2),0,1,TRUE()))</f>
        <v>0.26399218276300296</v>
      </c>
      <c r="J252">
        <f>NORMDIST($A$252,0,'Range Analysis'!$F$7,FALSE())*(NORMDIST((('Range Analysis'!$F$5-IF('Range Analysis'!H24&lt;=0,0,'Range Analysis'!G24*MAX(0,1.04-EXP(0.38*LN('Range Analysis'!H24)-0.54))))-$A$252)/('Range Analysis'!G24/2),0,1,TRUE())-NORMDIST((-('Range Analysis'!$F$5-IF('Range Analysis'!H24&lt;=0,0,'Range Analysis'!G24*MAX(0,1.04-EXP(0.38*LN('Range Analysis'!H24)-0.54))))-$A$252)/('Range Analysis'!G24/2),0,1,TRUE()))</f>
        <v>0.31832567518876004</v>
      </c>
      <c r="K252">
        <f>NORMDIST($A$252,0,'Range Analysis'!$F$7,FALSE())*(NORMDIST((('Range Analysis'!$F$5-IF('Range Analysis'!H25&lt;=0,0,'Range Analysis'!G25*MAX(0,1.04-EXP(0.38*LN('Range Analysis'!H25)-0.54))))-$A$252)/('Range Analysis'!G25/2),0,1,TRUE())-NORMDIST((-('Range Analysis'!$F$5-IF('Range Analysis'!H25&lt;=0,0,'Range Analysis'!G25*MAX(0,1.04-EXP(0.38*LN('Range Analysis'!H25)-0.54))))-$A$252)/('Range Analysis'!G25/2),0,1,TRUE()))</f>
        <v>0.31852584078667606</v>
      </c>
      <c r="L252">
        <f>NORMDIST($A$252,0,'Range Analysis'!$F$7,FALSE())*(NORMDIST((('Range Analysis'!$F$5-IF('Range Analysis'!H26&lt;=0,0,'Range Analysis'!G26*MAX(0,1.04-EXP(0.38*LN('Range Analysis'!H26)-0.54))))-$A$252)/('Range Analysis'!G26/2),0,1,TRUE())-NORMDIST((-('Range Analysis'!$F$5-IF('Range Analysis'!H26&lt;=0,0,'Range Analysis'!G26*MAX(0,1.04-EXP(0.38*LN('Range Analysis'!H26)-0.54))))-$A$252)/('Range Analysis'!G26/2),0,1,TRUE()))</f>
        <v>0.31852584464310035</v>
      </c>
      <c r="M252">
        <f>NORMDIST($A$252,0,'Range Analysis'!$F$7,FALSE())*(NORMDIST((('Range Analysis'!$F$5-IF('Range Analysis'!H27&lt;=0,0,'Range Analysis'!G27*MAX(0,1.04-EXP(0.38*LN('Range Analysis'!H27)-0.54))))-$A$252)/('Range Analysis'!G27/2),0,1,TRUE())-NORMDIST((-('Range Analysis'!$F$5-IF('Range Analysis'!H27&lt;=0,0,'Range Analysis'!G27*MAX(0,1.04-EXP(0.38*LN('Range Analysis'!H27)-0.54))))-$A$252)/('Range Analysis'!G27/2),0,1,TRUE()))</f>
        <v>0.31852584471203821</v>
      </c>
      <c r="N252">
        <f>NORMDIST($A$252,0,'Range Analysis'!$F$7,FALSE())*(NORMDIST((('Range Analysis'!$F$5-IF('Range Analysis'!H28&lt;=0,0,'Range Analysis'!G28*MAX(0,1.04-EXP(0.38*LN('Range Analysis'!H28)-0.54))))-$A$252)/('Range Analysis'!G28/2),0,1,TRUE())-NORMDIST((-('Range Analysis'!$F$5-IF('Range Analysis'!H28&lt;=0,0,'Range Analysis'!G28*MAX(0,1.04-EXP(0.38*LN('Range Analysis'!H28)-0.54))))-$A$252)/('Range Analysis'!G28/2),0,1,TRUE()))</f>
        <v>0.31852584471203821</v>
      </c>
      <c r="O252">
        <f>NORMDIST($A$252,0,'Range Analysis'!$F$7,FALSE())*(NORMDIST((('Range Analysis'!$F$5-IF('Range Analysis'!H29&lt;=0,0,'Range Analysis'!G29*MAX(0,1.04-EXP(0.38*LN('Range Analysis'!H29)-0.54))))-$A$252)/('Range Analysis'!G29/2),0,1,TRUE())-NORMDIST((-('Range Analysis'!$F$5-IF('Range Analysis'!H29&lt;=0,0,'Range Analysis'!G29*MAX(0,1.04-EXP(0.38*LN('Range Analysis'!H29)-0.54))))-$A$252)/('Range Analysis'!G29/2),0,1,TRUE()))</f>
        <v>0.31832567518876004</v>
      </c>
      <c r="P252">
        <f>NORMDIST($A$252,0,'Range Analysis'!$F$7,FALSE())*(NORMDIST((('Range Analysis'!$F$5-IF('Range Analysis'!H30&lt;=0,0,'Range Analysis'!G30*MAX(0,1.04-EXP(0.38*LN('Range Analysis'!H30)-0.54))))-$A$252)/('Range Analysis'!G30/2),0,1,TRUE())-NORMDIST((-('Range Analysis'!$F$5-IF('Range Analysis'!H30&lt;=0,0,'Range Analysis'!G30*MAX(0,1.04-EXP(0.38*LN('Range Analysis'!H30)-0.54))))-$A$252)/('Range Analysis'!G30/2),0,1,TRUE()))</f>
        <v>0.31602852167146916</v>
      </c>
      <c r="Q252">
        <f>NORMDIST($A$252,0,'Range Analysis'!$F$7,FALSE())*(NORMDIST(('Range Analysis'!$F$5-$A$252)/('Range Analysis'!G24/2),0,1,TRUE())-NORMDIST((-'Range Analysis'!$F$5-$A$252)/('Range Analysis'!G24/2),0,1,TRUE()))</f>
        <v>0.31850385429234074</v>
      </c>
      <c r="R252">
        <f>NORMDIST($A$252,0,'Range Analysis'!$F$7,FALSE())*(NORMDIST(('Range Analysis'!$F$5-$A$252)/('Range Analysis'!G25/2),0,1,TRUE())-NORMDIST((-'Range Analysis'!$F$5-$A$252)/('Range Analysis'!G25/2),0,1,TRUE()))</f>
        <v>0.31852584406988477</v>
      </c>
      <c r="S252">
        <f>NORMDIST($A$252,0,'Range Analysis'!$F$7,FALSE())*(NORMDIST(('Range Analysis'!$F$5-$A$252)/('Range Analysis'!G26/2),0,1,TRUE())-NORMDIST((-'Range Analysis'!$F$5-$A$252)/('Range Analysis'!G26/2),0,1,TRUE()))</f>
        <v>0.31852584469759526</v>
      </c>
      <c r="T252">
        <f>NORMDIST($A$252,0,'Range Analysis'!$F$7,FALSE())*(NORMDIST(('Range Analysis'!$F$5-$A$252)/('Range Analysis'!G27/2),0,1,TRUE())-NORMDIST((-'Range Analysis'!$F$5-$A$252)/('Range Analysis'!G27/2),0,1,TRUE()))</f>
        <v>0.31852584471203821</v>
      </c>
      <c r="U252">
        <f>NORMDIST($A$252,0,'Range Analysis'!$F$7,FALSE())*(NORMDIST(('Range Analysis'!$F$5-$A$252)/('Range Analysis'!G28/2),0,1,TRUE())-NORMDIST((-'Range Analysis'!$F$5-$A$252)/('Range Analysis'!G28/2),0,1,TRUE()))</f>
        <v>0.31852584471203821</v>
      </c>
      <c r="V252">
        <f>NORMDIST($A$252,0,'Range Analysis'!$F$7,FALSE())*(NORMDIST(('Range Analysis'!$F$5-$A$252)/('Range Analysis'!G29/2),0,1,TRUE())-NORMDIST((-'Range Analysis'!$F$5-$A$252)/('Range Analysis'!G29/2),0,1,TRUE()))</f>
        <v>0.31850385429234074</v>
      </c>
      <c r="W252">
        <f>NORMDIST($A$252,0,'Range Analysis'!$F$7,FALSE())*(NORMDIST((('Range Analysis'!$F$5-0)-$A$252)/('Range Analysis'!G30/2),0,1,TRUE())-NORMDIST((-('Range Analysis'!$F$5-0)-$A$252)/('Range Analysis'!G30/2),0,1,TRUE()))</f>
        <v>0.31824048968816521</v>
      </c>
    </row>
    <row r="253" spans="1:23" ht="15" customHeight="1" x14ac:dyDescent="0.25">
      <c r="A253">
        <f>-'Range Analysis'!$F$5+20*$B$232</f>
        <v>5.12820512820511E-2</v>
      </c>
      <c r="C253">
        <f>NORMDIST($A$253,0,'Range Analysis'!$F$7,FALSE())*(NORMDIST((('Range Analysis'!$F$5-0.98*'Range Analysis'!G24)-$A$253)/('Range Analysis'!G24/2),0,1,TRUE())-NORMDIST((-('Range Analysis'!$F$5-0.98*'Range Analysis'!G24)-$A$253)/('Range Analysis'!G24/2),0,1,TRUE()))</f>
        <v>0.3050139467895428</v>
      </c>
      <c r="D253">
        <f>NORMDIST($A$253,0,'Range Analysis'!$F$7,FALSE())*(NORMDIST((('Range Analysis'!$F$5-0.98*'Range Analysis'!G25)-$A$253)/('Range Analysis'!G25/2),0,1,TRUE())-NORMDIST((-('Range Analysis'!$F$5-0.98*'Range Analysis'!G25)-$A$253)/('Range Analysis'!G25/2),0,1,TRUE()))</f>
        <v>0.31850983201522376</v>
      </c>
      <c r="E253">
        <f>NORMDIST($A$253,0,'Range Analysis'!$F$7,FALSE())*(NORMDIST((('Range Analysis'!$F$5-0.98*'Range Analysis'!G26)-$A$253)/('Range Analysis'!G26/2),0,1,TRUE())-NORMDIST((-('Range Analysis'!$F$5-0.98*'Range Analysis'!G26)-$A$253)/('Range Analysis'!G26/2),0,1,TRUE()))</f>
        <v>0.31852475943710556</v>
      </c>
      <c r="F253">
        <f>NORMDIST($A$253,0,'Range Analysis'!$F$7,FALSE())*(NORMDIST((('Range Analysis'!$F$5-0.98*'Range Analysis'!G27)-$A$253)/('Range Analysis'!G27/2),0,1,TRUE())-NORMDIST((-('Range Analysis'!$F$5-0.98*'Range Analysis'!G27)-$A$253)/('Range Analysis'!G27/2),0,1,TRUE()))</f>
        <v>0.3185258447120371</v>
      </c>
      <c r="G253">
        <f>NORMDIST($A$253,0,'Range Analysis'!$F$7,FALSE())*(NORMDIST((('Range Analysis'!$F$5-0.98*'Range Analysis'!G28)-$A$253)/('Range Analysis'!G28/2),0,1,TRUE())-NORMDIST((-('Range Analysis'!$F$5-0.98*'Range Analysis'!G28)-$A$253)/('Range Analysis'!G28/2),0,1,TRUE()))</f>
        <v>0.31852584471203821</v>
      </c>
      <c r="H253">
        <f>NORMDIST($A$253,0,'Range Analysis'!$F$7,FALSE())*(NORMDIST((('Range Analysis'!$F$5-0.98*'Range Analysis'!G29)-$A$253)/('Range Analysis'!G29/2),0,1,TRUE())-NORMDIST((-('Range Analysis'!$F$5-0.98*'Range Analysis'!G29)-$A$253)/('Range Analysis'!G29/2),0,1,TRUE()))</f>
        <v>0.3050139467895428</v>
      </c>
      <c r="I253">
        <f>NORMDIST($A$253,0,'Range Analysis'!$F$7,FALSE())*(NORMDIST((('Range Analysis'!$F$5-0.98*'Range Analysis'!G30)-$A$253)/('Range Analysis'!G30/2),0,1,TRUE())-NORMDIST((-('Range Analysis'!$F$5-0.98*'Range Analysis'!G30)-$A$253)/('Range Analysis'!G30/2),0,1,TRUE()))</f>
        <v>0.26399218276300296</v>
      </c>
      <c r="J253">
        <f>NORMDIST($A$253,0,'Range Analysis'!$F$7,FALSE())*(NORMDIST((('Range Analysis'!$F$5-IF('Range Analysis'!H24&lt;=0,0,'Range Analysis'!G24*MAX(0,1.04-EXP(0.38*LN('Range Analysis'!H24)-0.54))))-$A$253)/('Range Analysis'!G24/2),0,1,TRUE())-NORMDIST((-('Range Analysis'!$F$5-IF('Range Analysis'!H24&lt;=0,0,'Range Analysis'!G24*MAX(0,1.04-EXP(0.38*LN('Range Analysis'!H24)-0.54))))-$A$253)/('Range Analysis'!G24/2),0,1,TRUE()))</f>
        <v>0.31832567518876004</v>
      </c>
      <c r="K253">
        <f>NORMDIST($A$253,0,'Range Analysis'!$F$7,FALSE())*(NORMDIST((('Range Analysis'!$F$5-IF('Range Analysis'!H25&lt;=0,0,'Range Analysis'!G25*MAX(0,1.04-EXP(0.38*LN('Range Analysis'!H25)-0.54))))-$A$253)/('Range Analysis'!G25/2),0,1,TRUE())-NORMDIST((-('Range Analysis'!$F$5-IF('Range Analysis'!H25&lt;=0,0,'Range Analysis'!G25*MAX(0,1.04-EXP(0.38*LN('Range Analysis'!H25)-0.54))))-$A$253)/('Range Analysis'!G25/2),0,1,TRUE()))</f>
        <v>0.31852584078667606</v>
      </c>
      <c r="L253">
        <f>NORMDIST($A$253,0,'Range Analysis'!$F$7,FALSE())*(NORMDIST((('Range Analysis'!$F$5-IF('Range Analysis'!H26&lt;=0,0,'Range Analysis'!G26*MAX(0,1.04-EXP(0.38*LN('Range Analysis'!H26)-0.54))))-$A$253)/('Range Analysis'!G26/2),0,1,TRUE())-NORMDIST((-('Range Analysis'!$F$5-IF('Range Analysis'!H26&lt;=0,0,'Range Analysis'!G26*MAX(0,1.04-EXP(0.38*LN('Range Analysis'!H26)-0.54))))-$A$253)/('Range Analysis'!G26/2),0,1,TRUE()))</f>
        <v>0.31852584464310035</v>
      </c>
      <c r="M253">
        <f>NORMDIST($A$253,0,'Range Analysis'!$F$7,FALSE())*(NORMDIST((('Range Analysis'!$F$5-IF('Range Analysis'!H27&lt;=0,0,'Range Analysis'!G27*MAX(0,1.04-EXP(0.38*LN('Range Analysis'!H27)-0.54))))-$A$253)/('Range Analysis'!G27/2),0,1,TRUE())-NORMDIST((-('Range Analysis'!$F$5-IF('Range Analysis'!H27&lt;=0,0,'Range Analysis'!G27*MAX(0,1.04-EXP(0.38*LN('Range Analysis'!H27)-0.54))))-$A$253)/('Range Analysis'!G27/2),0,1,TRUE()))</f>
        <v>0.31852584471203821</v>
      </c>
      <c r="N253">
        <f>NORMDIST($A$253,0,'Range Analysis'!$F$7,FALSE())*(NORMDIST((('Range Analysis'!$F$5-IF('Range Analysis'!H28&lt;=0,0,'Range Analysis'!G28*MAX(0,1.04-EXP(0.38*LN('Range Analysis'!H28)-0.54))))-$A$253)/('Range Analysis'!G28/2),0,1,TRUE())-NORMDIST((-('Range Analysis'!$F$5-IF('Range Analysis'!H28&lt;=0,0,'Range Analysis'!G28*MAX(0,1.04-EXP(0.38*LN('Range Analysis'!H28)-0.54))))-$A$253)/('Range Analysis'!G28/2),0,1,TRUE()))</f>
        <v>0.31852584471203821</v>
      </c>
      <c r="O253">
        <f>NORMDIST($A$253,0,'Range Analysis'!$F$7,FALSE())*(NORMDIST((('Range Analysis'!$F$5-IF('Range Analysis'!H29&lt;=0,0,'Range Analysis'!G29*MAX(0,1.04-EXP(0.38*LN('Range Analysis'!H29)-0.54))))-$A$253)/('Range Analysis'!G29/2),0,1,TRUE())-NORMDIST((-('Range Analysis'!$F$5-IF('Range Analysis'!H29&lt;=0,0,'Range Analysis'!G29*MAX(0,1.04-EXP(0.38*LN('Range Analysis'!H29)-0.54))))-$A$253)/('Range Analysis'!G29/2),0,1,TRUE()))</f>
        <v>0.31832567518876004</v>
      </c>
      <c r="P253">
        <f>NORMDIST($A$253,0,'Range Analysis'!$F$7,FALSE())*(NORMDIST((('Range Analysis'!$F$5-IF('Range Analysis'!H30&lt;=0,0,'Range Analysis'!G30*MAX(0,1.04-EXP(0.38*LN('Range Analysis'!H30)-0.54))))-$A$253)/('Range Analysis'!G30/2),0,1,TRUE())-NORMDIST((-('Range Analysis'!$F$5-IF('Range Analysis'!H30&lt;=0,0,'Range Analysis'!G30*MAX(0,1.04-EXP(0.38*LN('Range Analysis'!H30)-0.54))))-$A$253)/('Range Analysis'!G30/2),0,1,TRUE()))</f>
        <v>0.31602852167146916</v>
      </c>
      <c r="Q253">
        <f>NORMDIST($A$253,0,'Range Analysis'!$F$7,FALSE())*(NORMDIST(('Range Analysis'!$F$5-$A$253)/('Range Analysis'!G24/2),0,1,TRUE())-NORMDIST((-'Range Analysis'!$F$5-$A$253)/('Range Analysis'!G24/2),0,1,TRUE()))</f>
        <v>0.31850385429234074</v>
      </c>
      <c r="R253">
        <f>NORMDIST($A$253,0,'Range Analysis'!$F$7,FALSE())*(NORMDIST(('Range Analysis'!$F$5-$A$253)/('Range Analysis'!G25/2),0,1,TRUE())-NORMDIST((-'Range Analysis'!$F$5-$A$253)/('Range Analysis'!G25/2),0,1,TRUE()))</f>
        <v>0.31852584406988477</v>
      </c>
      <c r="S253">
        <f>NORMDIST($A$253,0,'Range Analysis'!$F$7,FALSE())*(NORMDIST(('Range Analysis'!$F$5-$A$253)/('Range Analysis'!G26/2),0,1,TRUE())-NORMDIST((-'Range Analysis'!$F$5-$A$253)/('Range Analysis'!G26/2),0,1,TRUE()))</f>
        <v>0.31852584469759526</v>
      </c>
      <c r="T253">
        <f>NORMDIST($A$253,0,'Range Analysis'!$F$7,FALSE())*(NORMDIST(('Range Analysis'!$F$5-$A$253)/('Range Analysis'!G27/2),0,1,TRUE())-NORMDIST((-'Range Analysis'!$F$5-$A$253)/('Range Analysis'!G27/2),0,1,TRUE()))</f>
        <v>0.31852584471203821</v>
      </c>
      <c r="U253">
        <f>NORMDIST($A$253,0,'Range Analysis'!$F$7,FALSE())*(NORMDIST(('Range Analysis'!$F$5-$A$253)/('Range Analysis'!G28/2),0,1,TRUE())-NORMDIST((-'Range Analysis'!$F$5-$A$253)/('Range Analysis'!G28/2),0,1,TRUE()))</f>
        <v>0.31852584471203821</v>
      </c>
      <c r="V253">
        <f>NORMDIST($A$253,0,'Range Analysis'!$F$7,FALSE())*(NORMDIST(('Range Analysis'!$F$5-$A$253)/('Range Analysis'!G29/2),0,1,TRUE())-NORMDIST((-'Range Analysis'!$F$5-$A$253)/('Range Analysis'!G29/2),0,1,TRUE()))</f>
        <v>0.31850385429234074</v>
      </c>
      <c r="W253">
        <f>NORMDIST($A$253,0,'Range Analysis'!$F$7,FALSE())*(NORMDIST((('Range Analysis'!$F$5-0)-$A$253)/('Range Analysis'!G30/2),0,1,TRUE())-NORMDIST((-('Range Analysis'!$F$5-0)-$A$253)/('Range Analysis'!G30/2),0,1,TRUE()))</f>
        <v>0.31824048968816521</v>
      </c>
    </row>
    <row r="254" spans="1:23" ht="15" customHeight="1" x14ac:dyDescent="0.25">
      <c r="A254">
        <f>-'Range Analysis'!$F$5+21*$B$232</f>
        <v>0.15384615384615374</v>
      </c>
      <c r="C254">
        <f>NORMDIST($A$254,0,'Range Analysis'!$F$7,FALSE())*(NORMDIST((('Range Analysis'!$F$5-0.98*'Range Analysis'!G24)-$A$254)/('Range Analysis'!G24/2),0,1,TRUE())-NORMDIST((-('Range Analysis'!$F$5-0.98*'Range Analysis'!G24)-$A$254)/('Range Analysis'!G24/2),0,1,TRUE()))</f>
        <v>0.30024011458161215</v>
      </c>
      <c r="D254">
        <f>NORMDIST($A$254,0,'Range Analysis'!$F$7,FALSE())*(NORMDIST((('Range Analysis'!$F$5-0.98*'Range Analysis'!G25)-$A$254)/('Range Analysis'!G25/2),0,1,TRUE())-NORMDIST((-('Range Analysis'!$F$5-0.98*'Range Analysis'!G25)-$A$254)/('Range Analysis'!G25/2),0,1,TRUE()))</f>
        <v>0.31634854737942464</v>
      </c>
      <c r="E254">
        <f>NORMDIST($A$254,0,'Range Analysis'!$F$7,FALSE())*(NORMDIST((('Range Analysis'!$F$5-0.98*'Range Analysis'!G26)-$A$254)/('Range Analysis'!G26/2),0,1,TRUE())-NORMDIST((-('Range Analysis'!$F$5-0.98*'Range Analysis'!G26)-$A$254)/('Range Analysis'!G26/2),0,1,TRUE()))</f>
        <v>0.3163890407585912</v>
      </c>
      <c r="F254">
        <f>NORMDIST($A$254,0,'Range Analysis'!$F$7,FALSE())*(NORMDIST((('Range Analysis'!$F$5-0.98*'Range Analysis'!G27)-$A$254)/('Range Analysis'!G27/2),0,1,TRUE())-NORMDIST((-('Range Analysis'!$F$5-0.98*'Range Analysis'!G27)-$A$254)/('Range Analysis'!G27/2),0,1,TRUE()))</f>
        <v>0.31639340790860399</v>
      </c>
      <c r="G254">
        <f>NORMDIST($A$254,0,'Range Analysis'!$F$7,FALSE())*(NORMDIST((('Range Analysis'!$F$5-0.98*'Range Analysis'!G28)-$A$254)/('Range Analysis'!G28/2),0,1,TRUE())-NORMDIST((-('Range Analysis'!$F$5-0.98*'Range Analysis'!G28)-$A$254)/('Range Analysis'!G28/2),0,1,TRUE()))</f>
        <v>0.31639340790866055</v>
      </c>
      <c r="H254">
        <f>NORMDIST($A$254,0,'Range Analysis'!$F$7,FALSE())*(NORMDIST((('Range Analysis'!$F$5-0.98*'Range Analysis'!G29)-$A$254)/('Range Analysis'!G29/2),0,1,TRUE())-NORMDIST((-('Range Analysis'!$F$5-0.98*'Range Analysis'!G29)-$A$254)/('Range Analysis'!G29/2),0,1,TRUE()))</f>
        <v>0.30024011458161215</v>
      </c>
      <c r="I254">
        <f>NORMDIST($A$254,0,'Range Analysis'!$F$7,FALSE())*(NORMDIST((('Range Analysis'!$F$5-0.98*'Range Analysis'!G30)-$A$254)/('Range Analysis'!G30/2),0,1,TRUE())-NORMDIST((-('Range Analysis'!$F$5-0.98*'Range Analysis'!G30)-$A$254)/('Range Analysis'!G30/2),0,1,TRUE()))</f>
        <v>0.25830628066333694</v>
      </c>
      <c r="J254">
        <f>NORMDIST($A$254,0,'Range Analysis'!$F$7,FALSE())*(NORMDIST((('Range Analysis'!$F$5-IF('Range Analysis'!H24&lt;=0,0,'Range Analysis'!G24*MAX(0,1.04-EXP(0.38*LN('Range Analysis'!H24)-0.54))))-$A$254)/('Range Analysis'!G24/2),0,1,TRUE())-NORMDIST((-('Range Analysis'!$F$5-IF('Range Analysis'!H24&lt;=0,0,'Range Analysis'!G24*MAX(0,1.04-EXP(0.38*LN('Range Analysis'!H24)-0.54))))-$A$254)/('Range Analysis'!G24/2),0,1,TRUE()))</f>
        <v>0.31608733757753121</v>
      </c>
      <c r="K254">
        <f>NORMDIST($A$254,0,'Range Analysis'!$F$7,FALSE())*(NORMDIST((('Range Analysis'!$F$5-IF('Range Analysis'!H25&lt;=0,0,'Range Analysis'!G25*MAX(0,1.04-EXP(0.38*LN('Range Analysis'!H25)-0.54))))-$A$254)/('Range Analysis'!G25/2),0,1,TRUE())-NORMDIST((-('Range Analysis'!$F$5-IF('Range Analysis'!H25&lt;=0,0,'Range Analysis'!G25*MAX(0,1.04-EXP(0.38*LN('Range Analysis'!H25)-0.54))))-$A$254)/('Range Analysis'!G25/2),0,1,TRUE()))</f>
        <v>0.31639338853841165</v>
      </c>
      <c r="L254">
        <f>NORMDIST($A$254,0,'Range Analysis'!$F$7,FALSE())*(NORMDIST((('Range Analysis'!$F$5-IF('Range Analysis'!H26&lt;=0,0,'Range Analysis'!G26*MAX(0,1.04-EXP(0.38*LN('Range Analysis'!H26)-0.54))))-$A$254)/('Range Analysis'!G26/2),0,1,TRUE())-NORMDIST((-('Range Analysis'!$F$5-IF('Range Analysis'!H26&lt;=0,0,'Range Analysis'!G26*MAX(0,1.04-EXP(0.38*LN('Range Analysis'!H26)-0.54))))-$A$254)/('Range Analysis'!G26/2),0,1,TRUE()))</f>
        <v>0.31639340738457961</v>
      </c>
      <c r="M254">
        <f>NORMDIST($A$254,0,'Range Analysis'!$F$7,FALSE())*(NORMDIST((('Range Analysis'!$F$5-IF('Range Analysis'!H27&lt;=0,0,'Range Analysis'!G27*MAX(0,1.04-EXP(0.38*LN('Range Analysis'!H27)-0.54))))-$A$254)/('Range Analysis'!G27/2),0,1,TRUE())-NORMDIST((-('Range Analysis'!$F$5-IF('Range Analysis'!H27&lt;=0,0,'Range Analysis'!G27*MAX(0,1.04-EXP(0.38*LN('Range Analysis'!H27)-0.54))))-$A$254)/('Range Analysis'!G27/2),0,1,TRUE()))</f>
        <v>0.31639340790866055</v>
      </c>
      <c r="N254">
        <f>NORMDIST($A$254,0,'Range Analysis'!$F$7,FALSE())*(NORMDIST((('Range Analysis'!$F$5-IF('Range Analysis'!H28&lt;=0,0,'Range Analysis'!G28*MAX(0,1.04-EXP(0.38*LN('Range Analysis'!H28)-0.54))))-$A$254)/('Range Analysis'!G28/2),0,1,TRUE())-NORMDIST((-('Range Analysis'!$F$5-IF('Range Analysis'!H28&lt;=0,0,'Range Analysis'!G28*MAX(0,1.04-EXP(0.38*LN('Range Analysis'!H28)-0.54))))-$A$254)/('Range Analysis'!G28/2),0,1,TRUE()))</f>
        <v>0.31639340790866055</v>
      </c>
      <c r="O254">
        <f>NORMDIST($A$254,0,'Range Analysis'!$F$7,FALSE())*(NORMDIST((('Range Analysis'!$F$5-IF('Range Analysis'!H29&lt;=0,0,'Range Analysis'!G29*MAX(0,1.04-EXP(0.38*LN('Range Analysis'!H29)-0.54))))-$A$254)/('Range Analysis'!G29/2),0,1,TRUE())-NORMDIST((-('Range Analysis'!$F$5-IF('Range Analysis'!H29&lt;=0,0,'Range Analysis'!G29*MAX(0,1.04-EXP(0.38*LN('Range Analysis'!H29)-0.54))))-$A$254)/('Range Analysis'!G29/2),0,1,TRUE()))</f>
        <v>0.31608733757753121</v>
      </c>
      <c r="P254">
        <f>NORMDIST($A$254,0,'Range Analysis'!$F$7,FALSE())*(NORMDIST((('Range Analysis'!$F$5-IF('Range Analysis'!H30&lt;=0,0,'Range Analysis'!G30*MAX(0,1.04-EXP(0.38*LN('Range Analysis'!H30)-0.54))))-$A$254)/('Range Analysis'!G30/2),0,1,TRUE())-NORMDIST((-('Range Analysis'!$F$5-IF('Range Analysis'!H30&lt;=0,0,'Range Analysis'!G30*MAX(0,1.04-EXP(0.38*LN('Range Analysis'!H30)-0.54))))-$A$254)/('Range Analysis'!G30/2),0,1,TRUE()))</f>
        <v>0.31333928107856535</v>
      </c>
      <c r="Q254">
        <f>NORMDIST($A$254,0,'Range Analysis'!$F$7,FALSE())*(NORMDIST(('Range Analysis'!$F$5-$A$254)/('Range Analysis'!G24/2),0,1,TRUE())-NORMDIST((-'Range Analysis'!$F$5-$A$254)/('Range Analysis'!G24/2),0,1,TRUE()))</f>
        <v>0.31635564239495517</v>
      </c>
      <c r="R254">
        <f>NORMDIST($A$254,0,'Range Analysis'!$F$7,FALSE())*(NORMDIST(('Range Analysis'!$F$5-$A$254)/('Range Analysis'!G25/2),0,1,TRUE())-NORMDIST((-'Range Analysis'!$F$5-$A$254)/('Range Analysis'!G25/2),0,1,TRUE()))</f>
        <v>0.31639340439589081</v>
      </c>
      <c r="S254">
        <f>NORMDIST($A$254,0,'Range Analysis'!$F$7,FALSE())*(NORMDIST(('Range Analysis'!$F$5-$A$254)/('Range Analysis'!G26/2),0,1,TRUE())-NORMDIST((-'Range Analysis'!$F$5-$A$254)/('Range Analysis'!G26/2),0,1,TRUE()))</f>
        <v>0.31639340778891195</v>
      </c>
      <c r="T254">
        <f>NORMDIST($A$254,0,'Range Analysis'!$F$7,FALSE())*(NORMDIST(('Range Analysis'!$F$5-$A$254)/('Range Analysis'!G27/2),0,1,TRUE())-NORMDIST((-'Range Analysis'!$F$5-$A$254)/('Range Analysis'!G27/2),0,1,TRUE()))</f>
        <v>0.31639340790866055</v>
      </c>
      <c r="U254">
        <f>NORMDIST($A$254,0,'Range Analysis'!$F$7,FALSE())*(NORMDIST(('Range Analysis'!$F$5-$A$254)/('Range Analysis'!G28/2),0,1,TRUE())-NORMDIST((-'Range Analysis'!$F$5-$A$254)/('Range Analysis'!G28/2),0,1,TRUE()))</f>
        <v>0.31639340790866055</v>
      </c>
      <c r="V254">
        <f>NORMDIST($A$254,0,'Range Analysis'!$F$7,FALSE())*(NORMDIST(('Range Analysis'!$F$5-$A$254)/('Range Analysis'!G29/2),0,1,TRUE())-NORMDIST((-'Range Analysis'!$F$5-$A$254)/('Range Analysis'!G29/2),0,1,TRUE()))</f>
        <v>0.31635564239495517</v>
      </c>
      <c r="W254">
        <f>NORMDIST($A$254,0,'Range Analysis'!$F$7,FALSE())*(NORMDIST((('Range Analysis'!$F$5-0)-$A$254)/('Range Analysis'!G30/2),0,1,TRUE())-NORMDIST((-('Range Analysis'!$F$5-0)-$A$254)/('Range Analysis'!G30/2),0,1,TRUE()))</f>
        <v>0.31601017701761913</v>
      </c>
    </row>
    <row r="255" spans="1:23" ht="15" customHeight="1" x14ac:dyDescent="0.25">
      <c r="A255">
        <f>-'Range Analysis'!$F$5+22*$B$232</f>
        <v>0.25641025641025639</v>
      </c>
      <c r="C255">
        <f>NORMDIST($A$255,0,'Range Analysis'!$F$7,FALSE())*(NORMDIST((('Range Analysis'!$F$5-0.98*'Range Analysis'!G24)-$A$255)/('Range Analysis'!G24/2),0,1,TRUE())-NORMDIST((-('Range Analysis'!$F$5-0.98*'Range Analysis'!G24)-$A$255)/('Range Analysis'!G24/2),0,1,TRUE()))</f>
        <v>0.29072481358700469</v>
      </c>
      <c r="D255">
        <f>NORMDIST($A$255,0,'Range Analysis'!$F$7,FALSE())*(NORMDIST((('Range Analysis'!$F$5-0.98*'Range Analysis'!G25)-$A$255)/('Range Analysis'!G25/2),0,1,TRUE())-NORMDIST((-('Range Analysis'!$F$5-0.98*'Range Analysis'!G25)-$A$255)/('Range Analysis'!G25/2),0,1,TRUE()))</f>
        <v>0.3120323986159157</v>
      </c>
      <c r="E255">
        <f>NORMDIST($A$255,0,'Range Analysis'!$F$7,FALSE())*(NORMDIST((('Range Analysis'!$F$5-0.98*'Range Analysis'!G26)-$A$255)/('Range Analysis'!G26/2),0,1,TRUE())-NORMDIST((-('Range Analysis'!$F$5-0.98*'Range Analysis'!G26)-$A$255)/('Range Analysis'!G26/2),0,1,TRUE()))</f>
        <v>0.31215297357888949</v>
      </c>
      <c r="F255">
        <f>NORMDIST($A$255,0,'Range Analysis'!$F$7,FALSE())*(NORMDIST((('Range Analysis'!$F$5-0.98*'Range Analysis'!G27)-$A$255)/('Range Analysis'!G27/2),0,1,TRUE())-NORMDIST((-('Range Analysis'!$F$5-0.98*'Range Analysis'!G27)-$A$255)/('Range Analysis'!G27/2),0,1,TRUE()))</f>
        <v>0.31217126683662666</v>
      </c>
      <c r="G255">
        <f>NORMDIST($A$255,0,'Range Analysis'!$F$7,FALSE())*(NORMDIST((('Range Analysis'!$F$5-0.98*'Range Analysis'!G28)-$A$255)/('Range Analysis'!G28/2),0,1,TRUE())-NORMDIST((-('Range Analysis'!$F$5-0.98*'Range Analysis'!G28)-$A$255)/('Range Analysis'!G28/2),0,1,TRUE()))</f>
        <v>0.31217126683881125</v>
      </c>
      <c r="H255">
        <f>NORMDIST($A$255,0,'Range Analysis'!$F$7,FALSE())*(NORMDIST((('Range Analysis'!$F$5-0.98*'Range Analysis'!G29)-$A$255)/('Range Analysis'!G29/2),0,1,TRUE())-NORMDIST((-('Range Analysis'!$F$5-0.98*'Range Analysis'!G29)-$A$255)/('Range Analysis'!G29/2),0,1,TRUE()))</f>
        <v>0.29072481358700469</v>
      </c>
      <c r="I255">
        <f>NORMDIST($A$255,0,'Range Analysis'!$F$7,FALSE())*(NORMDIST((('Range Analysis'!$F$5-0.98*'Range Analysis'!G30)-$A$255)/('Range Analysis'!G30/2),0,1,TRUE())-NORMDIST((-('Range Analysis'!$F$5-0.98*'Range Analysis'!G30)-$A$255)/('Range Analysis'!G30/2),0,1,TRUE()))</f>
        <v>0.2472536842231022</v>
      </c>
      <c r="J255">
        <f>NORMDIST($A$255,0,'Range Analysis'!$F$7,FALSE())*(NORMDIST((('Range Analysis'!$F$5-IF('Range Analysis'!H24&lt;=0,0,'Range Analysis'!G24*MAX(0,1.04-EXP(0.38*LN('Range Analysis'!H24)-0.54))))-$A$255)/('Range Analysis'!G24/2),0,1,TRUE())-NORMDIST((-('Range Analysis'!$F$5-IF('Range Analysis'!H24&lt;=0,0,'Range Analysis'!G24*MAX(0,1.04-EXP(0.38*LN('Range Analysis'!H24)-0.54))))-$A$255)/('Range Analysis'!G24/2),0,1,TRUE()))</f>
        <v>0.31161947506312099</v>
      </c>
      <c r="K255">
        <f>NORMDIST($A$255,0,'Range Analysis'!$F$7,FALSE())*(NORMDIST((('Range Analysis'!$F$5-IF('Range Analysis'!H25&lt;=0,0,'Range Analysis'!G25*MAX(0,1.04-EXP(0.38*LN('Range Analysis'!H25)-0.54))))-$A$255)/('Range Analysis'!G25/2),0,1,TRUE())-NORMDIST((-('Range Analysis'!$F$5-IF('Range Analysis'!H25&lt;=0,0,'Range Analysis'!G25*MAX(0,1.04-EXP(0.38*LN('Range Analysis'!H25)-0.54))))-$A$255)/('Range Analysis'!G25/2),0,1,TRUE()))</f>
        <v>0.31217116744899165</v>
      </c>
      <c r="L255">
        <f>NORMDIST($A$255,0,'Range Analysis'!$F$7,FALSE())*(NORMDIST((('Range Analysis'!$F$5-IF('Range Analysis'!H26&lt;=0,0,'Range Analysis'!G26*MAX(0,1.04-EXP(0.38*LN('Range Analysis'!H26)-0.54))))-$A$255)/('Range Analysis'!G26/2),0,1,TRUE())-NORMDIST((-('Range Analysis'!$F$5-IF('Range Analysis'!H26&lt;=0,0,'Range Analysis'!G26*MAX(0,1.04-EXP(0.38*LN('Range Analysis'!H26)-0.54))))-$A$255)/('Range Analysis'!G26/2),0,1,TRUE()))</f>
        <v>0.312171262944127</v>
      </c>
      <c r="M255">
        <f>NORMDIST($A$255,0,'Range Analysis'!$F$7,FALSE())*(NORMDIST((('Range Analysis'!$F$5-IF('Range Analysis'!H27&lt;=0,0,'Range Analysis'!G27*MAX(0,1.04-EXP(0.38*LN('Range Analysis'!H27)-0.54))))-$A$255)/('Range Analysis'!G27/2),0,1,TRUE())-NORMDIST((-('Range Analysis'!$F$5-IF('Range Analysis'!H27&lt;=0,0,'Range Analysis'!G27*MAX(0,1.04-EXP(0.38*LN('Range Analysis'!H27)-0.54))))-$A$255)/('Range Analysis'!G27/2),0,1,TRUE()))</f>
        <v>0.31217126683881125</v>
      </c>
      <c r="N255">
        <f>NORMDIST($A$255,0,'Range Analysis'!$F$7,FALSE())*(NORMDIST((('Range Analysis'!$F$5-IF('Range Analysis'!H28&lt;=0,0,'Range Analysis'!G28*MAX(0,1.04-EXP(0.38*LN('Range Analysis'!H28)-0.54))))-$A$255)/('Range Analysis'!G28/2),0,1,TRUE())-NORMDIST((-('Range Analysis'!$F$5-IF('Range Analysis'!H28&lt;=0,0,'Range Analysis'!G28*MAX(0,1.04-EXP(0.38*LN('Range Analysis'!H28)-0.54))))-$A$255)/('Range Analysis'!G28/2),0,1,TRUE()))</f>
        <v>0.31217126683881125</v>
      </c>
      <c r="O255">
        <f>NORMDIST($A$255,0,'Range Analysis'!$F$7,FALSE())*(NORMDIST((('Range Analysis'!$F$5-IF('Range Analysis'!H29&lt;=0,0,'Range Analysis'!G29*MAX(0,1.04-EXP(0.38*LN('Range Analysis'!H29)-0.54))))-$A$255)/('Range Analysis'!G29/2),0,1,TRUE())-NORMDIST((-('Range Analysis'!$F$5-IF('Range Analysis'!H29&lt;=0,0,'Range Analysis'!G29*MAX(0,1.04-EXP(0.38*LN('Range Analysis'!H29)-0.54))))-$A$255)/('Range Analysis'!G29/2),0,1,TRUE()))</f>
        <v>0.31161947506312099</v>
      </c>
      <c r="P255">
        <f>NORMDIST($A$255,0,'Range Analysis'!$F$7,FALSE())*(NORMDIST((('Range Analysis'!$F$5-IF('Range Analysis'!H30&lt;=0,0,'Range Analysis'!G30*MAX(0,1.04-EXP(0.38*LN('Range Analysis'!H30)-0.54))))-$A$255)/('Range Analysis'!G30/2),0,1,TRUE())-NORMDIST((-('Range Analysis'!$F$5-IF('Range Analysis'!H30&lt;=0,0,'Range Analysis'!G30*MAX(0,1.04-EXP(0.38*LN('Range Analysis'!H30)-0.54))))-$A$255)/('Range Analysis'!G30/2),0,1,TRUE()))</f>
        <v>0.30796046558549062</v>
      </c>
      <c r="Q255">
        <f>NORMDIST($A$255,0,'Range Analysis'!$F$7,FALSE())*(NORMDIST(('Range Analysis'!$F$5-$A$255)/('Range Analysis'!G24/2),0,1,TRUE())-NORMDIST((-'Range Analysis'!$F$5-$A$255)/('Range Analysis'!G24/2),0,1,TRUE()))</f>
        <v>0.31209407613265655</v>
      </c>
      <c r="R255">
        <f>NORMDIST($A$255,0,'Range Analysis'!$F$7,FALSE())*(NORMDIST(('Range Analysis'!$F$5-$A$255)/('Range Analysis'!G25/2),0,1,TRUE())-NORMDIST((-'Range Analysis'!$F$5-$A$255)/('Range Analysis'!G25/2),0,1,TRUE()))</f>
        <v>0.31217124706680943</v>
      </c>
      <c r="S255">
        <f>NORMDIST($A$255,0,'Range Analysis'!$F$7,FALSE())*(NORMDIST(('Range Analysis'!$F$5-$A$255)/('Range Analysis'!G26/2),0,1,TRUE())-NORMDIST((-'Range Analysis'!$F$5-$A$255)/('Range Analysis'!G26/2),0,1,TRUE()))</f>
        <v>0.31217126587507621</v>
      </c>
      <c r="T255">
        <f>NORMDIST($A$255,0,'Range Analysis'!$F$7,FALSE())*(NORMDIST(('Range Analysis'!$F$5-$A$255)/('Range Analysis'!G27/2),0,1,TRUE())-NORMDIST((-'Range Analysis'!$F$5-$A$255)/('Range Analysis'!G27/2),0,1,TRUE()))</f>
        <v>0.31217126683881125</v>
      </c>
      <c r="U255">
        <f>NORMDIST($A$255,0,'Range Analysis'!$F$7,FALSE())*(NORMDIST(('Range Analysis'!$F$5-$A$255)/('Range Analysis'!G28/2),0,1,TRUE())-NORMDIST((-'Range Analysis'!$F$5-$A$255)/('Range Analysis'!G28/2),0,1,TRUE()))</f>
        <v>0.31217126683881125</v>
      </c>
      <c r="V255">
        <f>NORMDIST($A$255,0,'Range Analysis'!$F$7,FALSE())*(NORMDIST(('Range Analysis'!$F$5-$A$255)/('Range Analysis'!G29/2),0,1,TRUE())-NORMDIST((-'Range Analysis'!$F$5-$A$255)/('Range Analysis'!G29/2),0,1,TRUE()))</f>
        <v>0.31209407613265655</v>
      </c>
      <c r="W255">
        <f>NORMDIST($A$255,0,'Range Analysis'!$F$7,FALSE())*(NORMDIST((('Range Analysis'!$F$5-0)-$A$255)/('Range Analysis'!G30/2),0,1,TRUE())-NORMDIST((-('Range Analysis'!$F$5-0)-$A$255)/('Range Analysis'!G30/2),0,1,TRUE()))</f>
        <v>0.31157338643465338</v>
      </c>
    </row>
    <row r="256" spans="1:23" ht="15" customHeight="1" x14ac:dyDescent="0.25">
      <c r="A256">
        <f>-'Range Analysis'!$F$5+23*$B$232</f>
        <v>0.35897435897435903</v>
      </c>
      <c r="C256">
        <f>NORMDIST($A$256,0,'Range Analysis'!$F$7,FALSE())*(NORMDIST((('Range Analysis'!$F$5-0.98*'Range Analysis'!G24)-$A$256)/('Range Analysis'!G24/2),0,1,TRUE())-NORMDIST((-('Range Analysis'!$F$5-0.98*'Range Analysis'!G24)-$A$256)/('Range Analysis'!G24/2),0,1,TRUE()))</f>
        <v>0.27657784532999785</v>
      </c>
      <c r="D256">
        <f>NORMDIST($A$256,0,'Range Analysis'!$F$7,FALSE())*(NORMDIST((('Range Analysis'!$F$5-0.98*'Range Analysis'!G25)-$A$256)/('Range Analysis'!G25/2),0,1,TRUE())-NORMDIST((-('Range Analysis'!$F$5-0.98*'Range Analysis'!G25)-$A$256)/('Range Analysis'!G25/2),0,1,TRUE()))</f>
        <v>0.30554747010101174</v>
      </c>
      <c r="E256">
        <f>NORMDIST($A$256,0,'Range Analysis'!$F$7,FALSE())*(NORMDIST((('Range Analysis'!$F$5-0.98*'Range Analysis'!G26)-$A$256)/('Range Analysis'!G26/2),0,1,TRUE())-NORMDIST((-('Range Analysis'!$F$5-0.98*'Range Analysis'!G26)-$A$256)/('Range Analysis'!G26/2),0,1,TRUE()))</f>
        <v>0.30587493636873969</v>
      </c>
      <c r="F256">
        <f>NORMDIST($A$256,0,'Range Analysis'!$F$7,FALSE())*(NORMDIST((('Range Analysis'!$F$5-0.98*'Range Analysis'!G27)-$A$256)/('Range Analysis'!G27/2),0,1,TRUE())-NORMDIST((-('Range Analysis'!$F$5-0.98*'Range Analysis'!G27)-$A$256)/('Range Analysis'!G27/2),0,1,TRUE()))</f>
        <v>0.3059434624754403</v>
      </c>
      <c r="G256">
        <f>NORMDIST($A$256,0,'Range Analysis'!$F$7,FALSE())*(NORMDIST((('Range Analysis'!$F$5-0.98*'Range Analysis'!G28)-$A$256)/('Range Analysis'!G28/2),0,1,TRUE())-NORMDIST((-('Range Analysis'!$F$5-0.98*'Range Analysis'!G28)-$A$256)/('Range Analysis'!G28/2),0,1,TRUE()))</f>
        <v>0.30594346254021659</v>
      </c>
      <c r="H256">
        <f>NORMDIST($A$256,0,'Range Analysis'!$F$7,FALSE())*(NORMDIST((('Range Analysis'!$F$5-0.98*'Range Analysis'!G29)-$A$256)/('Range Analysis'!G29/2),0,1,TRUE())-NORMDIST((-('Range Analysis'!$F$5-0.98*'Range Analysis'!G29)-$A$256)/('Range Analysis'!G29/2),0,1,TRUE()))</f>
        <v>0.27657784532999785</v>
      </c>
      <c r="I256">
        <f>NORMDIST($A$256,0,'Range Analysis'!$F$7,FALSE())*(NORMDIST((('Range Analysis'!$F$5-0.98*'Range Analysis'!G30)-$A$256)/('Range Analysis'!G30/2),0,1,TRUE())-NORMDIST((-('Range Analysis'!$F$5-0.98*'Range Analysis'!G30)-$A$256)/('Range Analysis'!G30/2),0,1,TRUE()))</f>
        <v>0.23145128345840763</v>
      </c>
      <c r="J256">
        <f>NORMDIST($A$256,0,'Range Analysis'!$F$7,FALSE())*(NORMDIST((('Range Analysis'!$F$5-IF('Range Analysis'!H24&lt;=0,0,'Range Analysis'!G24*MAX(0,1.04-EXP(0.38*LN('Range Analysis'!H24)-0.54))))-$A$256)/('Range Analysis'!G24/2),0,1,TRUE())-NORMDIST((-('Range Analysis'!$F$5-IF('Range Analysis'!H24&lt;=0,0,'Range Analysis'!G24*MAX(0,1.04-EXP(0.38*LN('Range Analysis'!H24)-0.54))))-$A$256)/('Range Analysis'!G24/2),0,1,TRUE()))</f>
        <v>0.30493610121673104</v>
      </c>
      <c r="K256">
        <f>NORMDIST($A$256,0,'Range Analysis'!$F$7,FALSE())*(NORMDIST((('Range Analysis'!$F$5-IF('Range Analysis'!H25&lt;=0,0,'Range Analysis'!G25*MAX(0,1.04-EXP(0.38*LN('Range Analysis'!H25)-0.54))))-$A$256)/('Range Analysis'!G25/2),0,1,TRUE())-NORMDIST((-('Range Analysis'!$F$5-IF('Range Analysis'!H25&lt;=0,0,'Range Analysis'!G25*MAX(0,1.04-EXP(0.38*LN('Range Analysis'!H25)-0.54))))-$A$256)/('Range Analysis'!G25/2),0,1,TRUE()))</f>
        <v>0.3059429994024585</v>
      </c>
      <c r="L256">
        <f>NORMDIST($A$256,0,'Range Analysis'!$F$7,FALSE())*(NORMDIST((('Range Analysis'!$F$5-IF('Range Analysis'!H26&lt;=0,0,'Range Analysis'!G26*MAX(0,1.04-EXP(0.38*LN('Range Analysis'!H26)-0.54))))-$A$256)/('Range Analysis'!G26/2),0,1,TRUE())-NORMDIST((-('Range Analysis'!$F$5-IF('Range Analysis'!H26&lt;=0,0,'Range Analysis'!G26*MAX(0,1.04-EXP(0.38*LN('Range Analysis'!H26)-0.54))))-$A$256)/('Range Analysis'!G26/2),0,1,TRUE()))</f>
        <v>0.30594343685099412</v>
      </c>
      <c r="M256">
        <f>NORMDIST($A$256,0,'Range Analysis'!$F$7,FALSE())*(NORMDIST((('Range Analysis'!$F$5-IF('Range Analysis'!H27&lt;=0,0,'Range Analysis'!G27*MAX(0,1.04-EXP(0.38*LN('Range Analysis'!H27)-0.54))))-$A$256)/('Range Analysis'!G27/2),0,1,TRUE())-NORMDIST((-('Range Analysis'!$F$5-IF('Range Analysis'!H27&lt;=0,0,'Range Analysis'!G27*MAX(0,1.04-EXP(0.38*LN('Range Analysis'!H27)-0.54))))-$A$256)/('Range Analysis'!G27/2),0,1,TRUE()))</f>
        <v>0.30594346254021654</v>
      </c>
      <c r="N256">
        <f>NORMDIST($A$256,0,'Range Analysis'!$F$7,FALSE())*(NORMDIST((('Range Analysis'!$F$5-IF('Range Analysis'!H28&lt;=0,0,'Range Analysis'!G28*MAX(0,1.04-EXP(0.38*LN('Range Analysis'!H28)-0.54))))-$A$256)/('Range Analysis'!G28/2),0,1,TRUE())-NORMDIST((-('Range Analysis'!$F$5-IF('Range Analysis'!H28&lt;=0,0,'Range Analysis'!G28*MAX(0,1.04-EXP(0.38*LN('Range Analysis'!H28)-0.54))))-$A$256)/('Range Analysis'!G28/2),0,1,TRUE()))</f>
        <v>0.30594346254021659</v>
      </c>
      <c r="O256">
        <f>NORMDIST($A$256,0,'Range Analysis'!$F$7,FALSE())*(NORMDIST((('Range Analysis'!$F$5-IF('Range Analysis'!H29&lt;=0,0,'Range Analysis'!G29*MAX(0,1.04-EXP(0.38*LN('Range Analysis'!H29)-0.54))))-$A$256)/('Range Analysis'!G29/2),0,1,TRUE())-NORMDIST((-('Range Analysis'!$F$5-IF('Range Analysis'!H29&lt;=0,0,'Range Analysis'!G29*MAX(0,1.04-EXP(0.38*LN('Range Analysis'!H29)-0.54))))-$A$256)/('Range Analysis'!G29/2),0,1,TRUE()))</f>
        <v>0.30493610121673104</v>
      </c>
      <c r="P256">
        <f>NORMDIST($A$256,0,'Range Analysis'!$F$7,FALSE())*(NORMDIST((('Range Analysis'!$F$5-IF('Range Analysis'!H30&lt;=0,0,'Range Analysis'!G30*MAX(0,1.04-EXP(0.38*LN('Range Analysis'!H30)-0.54))))-$A$256)/('Range Analysis'!G30/2),0,1,TRUE())-NORMDIST((-('Range Analysis'!$F$5-IF('Range Analysis'!H30&lt;=0,0,'Range Analysis'!G30*MAX(0,1.04-EXP(0.38*LN('Range Analysis'!H30)-0.54))))-$A$256)/('Range Analysis'!G30/2),0,1,TRUE()))</f>
        <v>0.2998982333076628</v>
      </c>
      <c r="Q256">
        <f>NORMDIST($A$256,0,'Range Analysis'!$F$7,FALSE())*(NORMDIST(('Range Analysis'!$F$5-$A$256)/('Range Analysis'!G24/2),0,1,TRUE())-NORMDIST((-'Range Analysis'!$F$5-$A$256)/('Range Analysis'!G24/2),0,1,TRUE()))</f>
        <v>0.30578545330353935</v>
      </c>
      <c r="R256">
        <f>NORMDIST($A$256,0,'Range Analysis'!$F$7,FALSE())*(NORMDIST(('Range Analysis'!$F$5-$A$256)/('Range Analysis'!G25/2),0,1,TRUE())-NORMDIST((-'Range Analysis'!$F$5-$A$256)/('Range Analysis'!G25/2),0,1,TRUE()))</f>
        <v>0.30594336159244451</v>
      </c>
      <c r="S256">
        <f>NORMDIST($A$256,0,'Range Analysis'!$F$7,FALSE())*(NORMDIST(('Range Analysis'!$F$5-$A$256)/('Range Analysis'!G26/2),0,1,TRUE())-NORMDIST((-'Range Analysis'!$F$5-$A$256)/('Range Analysis'!G26/2),0,1,TRUE()))</f>
        <v>0.30594345565926295</v>
      </c>
      <c r="T256">
        <f>NORMDIST($A$256,0,'Range Analysis'!$F$7,FALSE())*(NORMDIST(('Range Analysis'!$F$5-$A$256)/('Range Analysis'!G27/2),0,1,TRUE())-NORMDIST((-'Range Analysis'!$F$5-$A$256)/('Range Analysis'!G27/2),0,1,TRUE()))</f>
        <v>0.30594346254021654</v>
      </c>
      <c r="U256">
        <f>NORMDIST($A$256,0,'Range Analysis'!$F$7,FALSE())*(NORMDIST(('Range Analysis'!$F$5-$A$256)/('Range Analysis'!G28/2),0,1,TRUE())-NORMDIST((-'Range Analysis'!$F$5-$A$256)/('Range Analysis'!G28/2),0,1,TRUE()))</f>
        <v>0.30594346254021659</v>
      </c>
      <c r="V256">
        <f>NORMDIST($A$256,0,'Range Analysis'!$F$7,FALSE())*(NORMDIST(('Range Analysis'!$F$5-$A$256)/('Range Analysis'!G29/2),0,1,TRUE())-NORMDIST((-'Range Analysis'!$F$5-$A$256)/('Range Analysis'!G29/2),0,1,TRUE()))</f>
        <v>0.30578545330353935</v>
      </c>
      <c r="W256">
        <f>NORMDIST($A$256,0,'Range Analysis'!$F$7,FALSE())*(NORMDIST((('Range Analysis'!$F$5-0)-$A$256)/('Range Analysis'!G30/2),0,1,TRUE())-NORMDIST((-('Range Analysis'!$F$5-0)-$A$256)/('Range Analysis'!G30/2),0,1,TRUE()))</f>
        <v>0.30497643770320204</v>
      </c>
    </row>
    <row r="257" spans="1:23" ht="15" customHeight="1" x14ac:dyDescent="0.25">
      <c r="A257">
        <f>-'Range Analysis'!$F$5+24*$B$232</f>
        <v>0.46153846153846168</v>
      </c>
      <c r="C257">
        <f>NORMDIST($A$257,0,'Range Analysis'!$F$7,FALSE())*(NORMDIST((('Range Analysis'!$F$5-0.98*'Range Analysis'!G24)-$A$257)/('Range Analysis'!G24/2),0,1,TRUE())-NORMDIST((-('Range Analysis'!$F$5-0.98*'Range Analysis'!G24)-$A$257)/('Range Analysis'!G24/2),0,1,TRUE()))</f>
        <v>0.25806104161113674</v>
      </c>
      <c r="D257">
        <f>NORMDIST($A$257,0,'Range Analysis'!$F$7,FALSE())*(NORMDIST((('Range Analysis'!$F$5-0.98*'Range Analysis'!G25)-$A$257)/('Range Analysis'!G25/2),0,1,TRUE())-NORMDIST((-('Range Analysis'!$F$5-0.98*'Range Analysis'!G25)-$A$257)/('Range Analysis'!G25/2),0,1,TRUE()))</f>
        <v>0.29680618443949108</v>
      </c>
      <c r="E257">
        <f>NORMDIST($A$257,0,'Range Analysis'!$F$7,FALSE())*(NORMDIST((('Range Analysis'!$F$5-0.98*'Range Analysis'!G26)-$A$257)/('Range Analysis'!G26/2),0,1,TRUE())-NORMDIST((-('Range Analysis'!$F$5-0.98*'Range Analysis'!G26)-$A$257)/('Range Analysis'!G26/2),0,1,TRUE()))</f>
        <v>0.2976041500644227</v>
      </c>
      <c r="F257">
        <f>NORMDIST($A$257,0,'Range Analysis'!$F$7,FALSE())*(NORMDIST((('Range Analysis'!$F$5-0.98*'Range Analysis'!G27)-$A$257)/('Range Analysis'!G27/2),0,1,TRUE())-NORMDIST((-('Range Analysis'!$F$5-0.98*'Range Analysis'!G27)-$A$257)/('Range Analysis'!G27/2),0,1,TRUE()))</f>
        <v>0.29783256129323116</v>
      </c>
      <c r="G257">
        <f>NORMDIST($A$257,0,'Range Analysis'!$F$7,FALSE())*(NORMDIST((('Range Analysis'!$F$5-0.98*'Range Analysis'!G28)-$A$257)/('Range Analysis'!G28/2),0,1,TRUE())-NORMDIST((-('Range Analysis'!$F$5-0.98*'Range Analysis'!G28)-$A$257)/('Range Analysis'!G28/2),0,1,TRUE()))</f>
        <v>0.29783256276859438</v>
      </c>
      <c r="H257">
        <f>NORMDIST($A$257,0,'Range Analysis'!$F$7,FALSE())*(NORMDIST((('Range Analysis'!$F$5-0.98*'Range Analysis'!G29)-$A$257)/('Range Analysis'!G29/2),0,1,TRUE())-NORMDIST((-('Range Analysis'!$F$5-0.98*'Range Analysis'!G29)-$A$257)/('Range Analysis'!G29/2),0,1,TRUE()))</f>
        <v>0.25806104161113674</v>
      </c>
      <c r="I257">
        <f>NORMDIST($A$257,0,'Range Analysis'!$F$7,FALSE())*(NORMDIST((('Range Analysis'!$F$5-0.98*'Range Analysis'!G30)-$A$257)/('Range Analysis'!G30/2),0,1,TRUE())-NORMDIST((-('Range Analysis'!$F$5-0.98*'Range Analysis'!G30)-$A$257)/('Range Analysis'!G30/2),0,1,TRUE()))</f>
        <v>0.21177033362927411</v>
      </c>
      <c r="J257">
        <f>NORMDIST($A$257,0,'Range Analysis'!$F$7,FALSE())*(NORMDIST((('Range Analysis'!$F$5-IF('Range Analysis'!H24&lt;=0,0,'Range Analysis'!G24*MAX(0,1.04-EXP(0.38*LN('Range Analysis'!H24)-0.54))))-$A$257)/('Range Analysis'!G24/2),0,1,TRUE())-NORMDIST((-('Range Analysis'!$F$5-IF('Range Analysis'!H24&lt;=0,0,'Range Analysis'!G24*MAX(0,1.04-EXP(0.38*LN('Range Analysis'!H24)-0.54))))-$A$257)/('Range Analysis'!G24/2),0,1,TRUE()))</f>
        <v>0.29605115050484992</v>
      </c>
      <c r="K257">
        <f>NORMDIST($A$257,0,'Range Analysis'!$F$7,FALSE())*(NORMDIST((('Range Analysis'!$F$5-IF('Range Analysis'!H25&lt;=0,0,'Range Analysis'!G25*MAX(0,1.04-EXP(0.38*LN('Range Analysis'!H25)-0.54))))-$A$257)/('Range Analysis'!G25/2),0,1,TRUE())-NORMDIST((-('Range Analysis'!$F$5-IF('Range Analysis'!H25&lt;=0,0,'Range Analysis'!G25*MAX(0,1.04-EXP(0.38*LN('Range Analysis'!H25)-0.54))))-$A$257)/('Range Analysis'!G25/2),0,1,TRUE()))</f>
        <v>0.29783060938308986</v>
      </c>
      <c r="L257">
        <f>NORMDIST($A$257,0,'Range Analysis'!$F$7,FALSE())*(NORMDIST((('Range Analysis'!$F$5-IF('Range Analysis'!H26&lt;=0,0,'Range Analysis'!G26*MAX(0,1.04-EXP(0.38*LN('Range Analysis'!H26)-0.54))))-$A$257)/('Range Analysis'!G26/2),0,1,TRUE())-NORMDIST((-('Range Analysis'!$F$5-IF('Range Analysis'!H26&lt;=0,0,'Range Analysis'!G26*MAX(0,1.04-EXP(0.38*LN('Range Analysis'!H26)-0.54))))-$A$257)/('Range Analysis'!G26/2),0,1,TRUE()))</f>
        <v>0.29783241248973441</v>
      </c>
      <c r="M257">
        <f>NORMDIST($A$257,0,'Range Analysis'!$F$7,FALSE())*(NORMDIST((('Range Analysis'!$F$5-IF('Range Analysis'!H27&lt;=0,0,'Range Analysis'!G27*MAX(0,1.04-EXP(0.38*LN('Range Analysis'!H27)-0.54))))-$A$257)/('Range Analysis'!G27/2),0,1,TRUE())-NORMDIST((-('Range Analysis'!$F$5-IF('Range Analysis'!H27&lt;=0,0,'Range Analysis'!G27*MAX(0,1.04-EXP(0.38*LN('Range Analysis'!H27)-0.54))))-$A$257)/('Range Analysis'!G27/2),0,1,TRUE()))</f>
        <v>0.29783256276859221</v>
      </c>
      <c r="N257">
        <f>NORMDIST($A$257,0,'Range Analysis'!$F$7,FALSE())*(NORMDIST((('Range Analysis'!$F$5-IF('Range Analysis'!H28&lt;=0,0,'Range Analysis'!G28*MAX(0,1.04-EXP(0.38*LN('Range Analysis'!H28)-0.54))))-$A$257)/('Range Analysis'!G28/2),0,1,TRUE())-NORMDIST((-('Range Analysis'!$F$5-IF('Range Analysis'!H28&lt;=0,0,'Range Analysis'!G28*MAX(0,1.04-EXP(0.38*LN('Range Analysis'!H28)-0.54))))-$A$257)/('Range Analysis'!G28/2),0,1,TRUE()))</f>
        <v>0.29783256276859438</v>
      </c>
      <c r="O257">
        <f>NORMDIST($A$257,0,'Range Analysis'!$F$7,FALSE())*(NORMDIST((('Range Analysis'!$F$5-IF('Range Analysis'!H29&lt;=0,0,'Range Analysis'!G29*MAX(0,1.04-EXP(0.38*LN('Range Analysis'!H29)-0.54))))-$A$257)/('Range Analysis'!G29/2),0,1,TRUE())-NORMDIST((-('Range Analysis'!$F$5-IF('Range Analysis'!H29&lt;=0,0,'Range Analysis'!G29*MAX(0,1.04-EXP(0.38*LN('Range Analysis'!H29)-0.54))))-$A$257)/('Range Analysis'!G29/2),0,1,TRUE()))</f>
        <v>0.29605115050484992</v>
      </c>
      <c r="P257">
        <f>NORMDIST($A$257,0,'Range Analysis'!$F$7,FALSE())*(NORMDIST((('Range Analysis'!$F$5-IF('Range Analysis'!H30&lt;=0,0,'Range Analysis'!G30*MAX(0,1.04-EXP(0.38*LN('Range Analysis'!H30)-0.54))))-$A$257)/('Range Analysis'!G30/2),0,1,TRUE())-NORMDIST((-('Range Analysis'!$F$5-IF('Range Analysis'!H30&lt;=0,0,'Range Analysis'!G30*MAX(0,1.04-EXP(0.38*LN('Range Analysis'!H30)-0.54))))-$A$257)/('Range Analysis'!G30/2),0,1,TRUE()))</f>
        <v>0.28917857236290034</v>
      </c>
      <c r="Q257">
        <f>NORMDIST($A$257,0,'Range Analysis'!$F$7,FALSE())*(NORMDIST(('Range Analysis'!$F$5-$A$257)/('Range Analysis'!G24/2),0,1,TRUE())-NORMDIST((-'Range Analysis'!$F$5-$A$257)/('Range Analysis'!G24/2),0,1,TRUE()))</f>
        <v>0.29752097859139931</v>
      </c>
      <c r="R257">
        <f>NORMDIST($A$257,0,'Range Analysis'!$F$7,FALSE())*(NORMDIST(('Range Analysis'!$F$5-$A$257)/('Range Analysis'!G25/2),0,1,TRUE())-NORMDIST((-'Range Analysis'!$F$5-$A$257)/('Range Analysis'!G25/2),0,1,TRUE()))</f>
        <v>0.29783209644603931</v>
      </c>
      <c r="S257">
        <f>NORMDIST($A$257,0,'Range Analysis'!$F$7,FALSE())*(NORMDIST(('Range Analysis'!$F$5-$A$257)/('Range Analysis'!G26/2),0,1,TRUE())-NORMDIST((-'Range Analysis'!$F$5-$A$257)/('Range Analysis'!G26/2),0,1,TRUE()))</f>
        <v>0.29783251920795817</v>
      </c>
      <c r="T257">
        <f>NORMDIST($A$257,0,'Range Analysis'!$F$7,FALSE())*(NORMDIST(('Range Analysis'!$F$5-$A$257)/('Range Analysis'!G27/2),0,1,TRUE())-NORMDIST((-'Range Analysis'!$F$5-$A$257)/('Range Analysis'!G27/2),0,1,TRUE()))</f>
        <v>0.29783256276859221</v>
      </c>
      <c r="U257">
        <f>NORMDIST($A$257,0,'Range Analysis'!$F$7,FALSE())*(NORMDIST(('Range Analysis'!$F$5-$A$257)/('Range Analysis'!G28/2),0,1,TRUE())-NORMDIST((-'Range Analysis'!$F$5-$A$257)/('Range Analysis'!G28/2),0,1,TRUE()))</f>
        <v>0.29783256276859438</v>
      </c>
      <c r="V257">
        <f>NORMDIST($A$257,0,'Range Analysis'!$F$7,FALSE())*(NORMDIST(('Range Analysis'!$F$5-$A$257)/('Range Analysis'!G29/2),0,1,TRUE())-NORMDIST((-'Range Analysis'!$F$5-$A$257)/('Range Analysis'!G29/2),0,1,TRUE()))</f>
        <v>0.29752097859139931</v>
      </c>
      <c r="W257">
        <f>NORMDIST($A$257,0,'Range Analysis'!$F$7,FALSE())*(NORMDIST((('Range Analysis'!$F$5-0)-$A$257)/('Range Analysis'!G30/2),0,1,TRUE())-NORMDIST((-('Range Analysis'!$F$5-0)-$A$257)/('Range Analysis'!G30/2),0,1,TRUE()))</f>
        <v>0.29628604382697038</v>
      </c>
    </row>
    <row r="258" spans="1:23" ht="15" customHeight="1" x14ac:dyDescent="0.25">
      <c r="A258">
        <f>-'Range Analysis'!$F$5+25*$B$232</f>
        <v>0.56410256410256387</v>
      </c>
      <c r="C258">
        <f>NORMDIST($A$258,0,'Range Analysis'!$F$7,FALSE())*(NORMDIST((('Range Analysis'!$F$5-0.98*'Range Analysis'!G24)-$A$258)/('Range Analysis'!G24/2),0,1,TRUE())-NORMDIST((-('Range Analysis'!$F$5-0.98*'Range Analysis'!G24)-$A$258)/('Range Analysis'!G24/2),0,1,TRUE()))</f>
        <v>0.23566532311550201</v>
      </c>
      <c r="D258">
        <f>NORMDIST($A$258,0,'Range Analysis'!$F$7,FALSE())*(NORMDIST((('Range Analysis'!$F$5-0.98*'Range Analysis'!G25)-$A$258)/('Range Analysis'!G25/2),0,1,TRUE())-NORMDIST((-('Range Analysis'!$F$5-0.98*'Range Analysis'!G25)-$A$258)/('Range Analysis'!G25/2),0,1,TRUE()))</f>
        <v>0.2855774654738914</v>
      </c>
      <c r="E258">
        <f>NORMDIST($A$258,0,'Range Analysis'!$F$7,FALSE())*(NORMDIST((('Range Analysis'!$F$5-0.98*'Range Analysis'!G26)-$A$258)/('Range Analysis'!G26/2),0,1,TRUE())-NORMDIST((-('Range Analysis'!$F$5-0.98*'Range Analysis'!G26)-$A$258)/('Range Analysis'!G26/2),0,1,TRUE()))</f>
        <v>0.28731763018287909</v>
      </c>
      <c r="F258">
        <f>NORMDIST($A$258,0,'Range Analysis'!$F$7,FALSE())*(NORMDIST((('Range Analysis'!$F$5-0.98*'Range Analysis'!G27)-$A$258)/('Range Analysis'!G27/2),0,1,TRUE())-NORMDIST((-('Range Analysis'!$F$5-0.98*'Range Analysis'!G27)-$A$258)/('Range Analysis'!G27/2),0,1,TRUE()))</f>
        <v>0.28799562525216049</v>
      </c>
      <c r="G258">
        <f>NORMDIST($A$258,0,'Range Analysis'!$F$7,FALSE())*(NORMDIST((('Range Analysis'!$F$5-0.98*'Range Analysis'!G28)-$A$258)/('Range Analysis'!G28/2),0,1,TRUE())-NORMDIST((-('Range Analysis'!$F$5-0.98*'Range Analysis'!G28)-$A$258)/('Range Analysis'!G28/2),0,1,TRUE()))</f>
        <v>0.28799565108814001</v>
      </c>
      <c r="H258">
        <f>NORMDIST($A$258,0,'Range Analysis'!$F$7,FALSE())*(NORMDIST((('Range Analysis'!$F$5-0.98*'Range Analysis'!G29)-$A$258)/('Range Analysis'!G29/2),0,1,TRUE())-NORMDIST((-('Range Analysis'!$F$5-0.98*'Range Analysis'!G29)-$A$258)/('Range Analysis'!G29/2),0,1,TRUE()))</f>
        <v>0.23566532311550201</v>
      </c>
      <c r="I258">
        <f>NORMDIST($A$258,0,'Range Analysis'!$F$7,FALSE())*(NORMDIST((('Range Analysis'!$F$5-0.98*'Range Analysis'!G30)-$A$258)/('Range Analysis'!G30/2),0,1,TRUE())-NORMDIST((-('Range Analysis'!$F$5-0.98*'Range Analysis'!G30)-$A$258)/('Range Analysis'!G30/2),0,1,TRUE()))</f>
        <v>0.1892719330937899</v>
      </c>
      <c r="J258">
        <f>NORMDIST($A$258,0,'Range Analysis'!$F$7,FALSE())*(NORMDIST((('Range Analysis'!$F$5-IF('Range Analysis'!H24&lt;=0,0,'Range Analysis'!G24*MAX(0,1.04-EXP(0.38*LN('Range Analysis'!H24)-0.54))))-$A$258)/('Range Analysis'!G24/2),0,1,TRUE())-NORMDIST((-('Range Analysis'!$F$5-IF('Range Analysis'!H24&lt;=0,0,'Range Analysis'!G24*MAX(0,1.04-EXP(0.38*LN('Range Analysis'!H24)-0.54))))-$A$258)/('Range Analysis'!G24/2),0,1,TRUE()))</f>
        <v>0.2849751378124375</v>
      </c>
      <c r="K258">
        <f>NORMDIST($A$258,0,'Range Analysis'!$F$7,FALSE())*(NORMDIST((('Range Analysis'!$F$5-IF('Range Analysis'!H25&lt;=0,0,'Range Analysis'!G25*MAX(0,1.04-EXP(0.38*LN('Range Analysis'!H25)-0.54))))-$A$258)/('Range Analysis'!G25/2),0,1,TRUE())-NORMDIST((-('Range Analysis'!$F$5-IF('Range Analysis'!H25&lt;=0,0,'Range Analysis'!G25*MAX(0,1.04-EXP(0.38*LN('Range Analysis'!H25)-0.54))))-$A$258)/('Range Analysis'!G25/2),0,1,TRUE()))</f>
        <v>0.28798819151429561</v>
      </c>
      <c r="L258">
        <f>NORMDIST($A$258,0,'Range Analysis'!$F$7,FALSE())*(NORMDIST((('Range Analysis'!$F$5-IF('Range Analysis'!H26&lt;=0,0,'Range Analysis'!G26*MAX(0,1.04-EXP(0.38*LN('Range Analysis'!H26)-0.54))))-$A$258)/('Range Analysis'!G26/2),0,1,TRUE())-NORMDIST((-('Range Analysis'!$F$5-IF('Range Analysis'!H26&lt;=0,0,'Range Analysis'!G26*MAX(0,1.04-EXP(0.38*LN('Range Analysis'!H26)-0.54))))-$A$258)/('Range Analysis'!G26/2),0,1,TRUE()))</f>
        <v>0.28799487109480182</v>
      </c>
      <c r="M258">
        <f>NORMDIST($A$258,0,'Range Analysis'!$F$7,FALSE())*(NORMDIST((('Range Analysis'!$F$5-IF('Range Analysis'!H27&lt;=0,0,'Range Analysis'!G27*MAX(0,1.04-EXP(0.38*LN('Range Analysis'!H27)-0.54))))-$A$258)/('Range Analysis'!G27/2),0,1,TRUE())-NORMDIST((-('Range Analysis'!$F$5-IF('Range Analysis'!H27&lt;=0,0,'Range Analysis'!G27*MAX(0,1.04-EXP(0.38*LN('Range Analysis'!H27)-0.54))))-$A$258)/('Range Analysis'!G27/2),0,1,TRUE()))</f>
        <v>0.28799565108803926</v>
      </c>
      <c r="N258">
        <f>NORMDIST($A$258,0,'Range Analysis'!$F$7,FALSE())*(NORMDIST((('Range Analysis'!$F$5-IF('Range Analysis'!H28&lt;=0,0,'Range Analysis'!G28*MAX(0,1.04-EXP(0.38*LN('Range Analysis'!H28)-0.54))))-$A$258)/('Range Analysis'!G28/2),0,1,TRUE())-NORMDIST((-('Range Analysis'!$F$5-IF('Range Analysis'!H28&lt;=0,0,'Range Analysis'!G28*MAX(0,1.04-EXP(0.38*LN('Range Analysis'!H28)-0.54))))-$A$258)/('Range Analysis'!G28/2),0,1,TRUE()))</f>
        <v>0.28799565108814001</v>
      </c>
      <c r="O258">
        <f>NORMDIST($A$258,0,'Range Analysis'!$F$7,FALSE())*(NORMDIST((('Range Analysis'!$F$5-IF('Range Analysis'!H29&lt;=0,0,'Range Analysis'!G29*MAX(0,1.04-EXP(0.38*LN('Range Analysis'!H29)-0.54))))-$A$258)/('Range Analysis'!G29/2),0,1,TRUE())-NORMDIST((-('Range Analysis'!$F$5-IF('Range Analysis'!H29&lt;=0,0,'Range Analysis'!G29*MAX(0,1.04-EXP(0.38*LN('Range Analysis'!H29)-0.54))))-$A$258)/('Range Analysis'!G29/2),0,1,TRUE()))</f>
        <v>0.2849751378124375</v>
      </c>
      <c r="P258">
        <f>NORMDIST($A$258,0,'Range Analysis'!$F$7,FALSE())*(NORMDIST((('Range Analysis'!$F$5-IF('Range Analysis'!H30&lt;=0,0,'Range Analysis'!G30*MAX(0,1.04-EXP(0.38*LN('Range Analysis'!H30)-0.54))))-$A$258)/('Range Analysis'!G30/2),0,1,TRUE())-NORMDIST((-('Range Analysis'!$F$5-IF('Range Analysis'!H30&lt;=0,0,'Range Analysis'!G30*MAX(0,1.04-EXP(0.38*LN('Range Analysis'!H30)-0.54))))-$A$258)/('Range Analysis'!G30/2),0,1,TRUE()))</f>
        <v>0.27586620416528645</v>
      </c>
      <c r="Q258">
        <f>NORMDIST($A$258,0,'Range Analysis'!$F$7,FALSE())*(NORMDIST(('Range Analysis'!$F$5-$A$258)/('Range Analysis'!G24/2),0,1,TRUE())-NORMDIST((-'Range Analysis'!$F$5-$A$258)/('Range Analysis'!G24/2),0,1,TRUE()))</f>
        <v>0.28740788500238645</v>
      </c>
      <c r="R258">
        <f>NORMDIST($A$258,0,'Range Analysis'!$F$7,FALSE())*(NORMDIST(('Range Analysis'!$F$5-$A$258)/('Range Analysis'!G25/2),0,1,TRUE())-NORMDIST((-'Range Analysis'!$F$5-$A$258)/('Range Analysis'!G25/2),0,1,TRUE()))</f>
        <v>0.28799370147577169</v>
      </c>
      <c r="S258">
        <f>NORMDIST($A$258,0,'Range Analysis'!$F$7,FALSE())*(NORMDIST(('Range Analysis'!$F$5-$A$258)/('Range Analysis'!G26/2),0,1,TRUE())-NORMDIST((-'Range Analysis'!$F$5-$A$258)/('Range Analysis'!G26/2),0,1,TRUE()))</f>
        <v>0.28799540648897576</v>
      </c>
      <c r="T258">
        <f>NORMDIST($A$258,0,'Range Analysis'!$F$7,FALSE())*(NORMDIST(('Range Analysis'!$F$5-$A$258)/('Range Analysis'!G27/2),0,1,TRUE())-NORMDIST((-'Range Analysis'!$F$5-$A$258)/('Range Analysis'!G27/2),0,1,TRUE()))</f>
        <v>0.28799565108803926</v>
      </c>
      <c r="U258">
        <f>NORMDIST($A$258,0,'Range Analysis'!$F$7,FALSE())*(NORMDIST(('Range Analysis'!$F$5-$A$258)/('Range Analysis'!G28/2),0,1,TRUE())-NORMDIST((-'Range Analysis'!$F$5-$A$258)/('Range Analysis'!G28/2),0,1,TRUE()))</f>
        <v>0.28799565108814001</v>
      </c>
      <c r="V258">
        <f>NORMDIST($A$258,0,'Range Analysis'!$F$7,FALSE())*(NORMDIST(('Range Analysis'!$F$5-$A$258)/('Range Analysis'!G29/2),0,1,TRUE())-NORMDIST((-'Range Analysis'!$F$5-$A$258)/('Range Analysis'!G29/2),0,1,TRUE()))</f>
        <v>0.28740788500238645</v>
      </c>
      <c r="W258">
        <f>NORMDIST($A$258,0,'Range Analysis'!$F$7,FALSE())*(NORMDIST((('Range Analysis'!$F$5-0)-$A$258)/('Range Analysis'!G30/2),0,1,TRUE())-NORMDIST((-('Range Analysis'!$F$5-0)-$A$258)/('Range Analysis'!G30/2),0,1,TRUE()))</f>
        <v>0.28558756270746544</v>
      </c>
    </row>
    <row r="259" spans="1:23" ht="15" customHeight="1" x14ac:dyDescent="0.25">
      <c r="A259">
        <f>-'Range Analysis'!$F$5+26*$B$232</f>
        <v>0.66666666666666652</v>
      </c>
      <c r="C259">
        <f>NORMDIST($A$259,0,'Range Analysis'!$F$7,FALSE())*(NORMDIST((('Range Analysis'!$F$5-0.98*'Range Analysis'!G24)-$A$259)/('Range Analysis'!G24/2),0,1,TRUE())-NORMDIST((-('Range Analysis'!$F$5-0.98*'Range Analysis'!G24)-$A$259)/('Range Analysis'!G24/2),0,1,TRUE()))</f>
        <v>0.21015923760776437</v>
      </c>
      <c r="D259">
        <f>NORMDIST($A$259,0,'Range Analysis'!$F$7,FALSE())*(NORMDIST((('Range Analysis'!$F$5-0.98*'Range Analysis'!G25)-$A$259)/('Range Analysis'!G25/2),0,1,TRUE())-NORMDIST((-('Range Analysis'!$F$5-0.98*'Range Analysis'!G25)-$A$259)/('Range Analysis'!G25/2),0,1,TRUE()))</f>
        <v>0.27143425079742622</v>
      </c>
      <c r="E259">
        <f>NORMDIST($A$259,0,'Range Analysis'!$F$7,FALSE())*(NORMDIST((('Range Analysis'!$F$5-0.98*'Range Analysis'!G26)-$A$259)/('Range Analysis'!G26/2),0,1,TRUE())-NORMDIST((-('Range Analysis'!$F$5-0.98*'Range Analysis'!G26)-$A$259)/('Range Analysis'!G26/2),0,1,TRUE()))</f>
        <v>0.27482465074037399</v>
      </c>
      <c r="F259">
        <f>NORMDIST($A$259,0,'Range Analysis'!$F$7,FALSE())*(NORMDIST((('Range Analysis'!$F$5-0.98*'Range Analysis'!G27)-$A$259)/('Range Analysis'!G27/2),0,1,TRUE())-NORMDIST((-('Range Analysis'!$F$5-0.98*'Range Analysis'!G27)-$A$259)/('Range Analysis'!G27/2),0,1,TRUE()))</f>
        <v>0.27661892189329407</v>
      </c>
      <c r="G259">
        <f>NORMDIST($A$259,0,'Range Analysis'!$F$7,FALSE())*(NORMDIST((('Range Analysis'!$F$5-0.98*'Range Analysis'!G28)-$A$259)/('Range Analysis'!G28/2),0,1,TRUE())-NORMDIST((-('Range Analysis'!$F$5-0.98*'Range Analysis'!G28)-$A$259)/('Range Analysis'!G28/2),0,1,TRUE()))</f>
        <v>0.27661927015713728</v>
      </c>
      <c r="H259">
        <f>NORMDIST($A$259,0,'Range Analysis'!$F$7,FALSE())*(NORMDIST((('Range Analysis'!$F$5-0.98*'Range Analysis'!G29)-$A$259)/('Range Analysis'!G29/2),0,1,TRUE())-NORMDIST((-('Range Analysis'!$F$5-0.98*'Range Analysis'!G29)-$A$259)/('Range Analysis'!G29/2),0,1,TRUE()))</f>
        <v>0.21015923760776437</v>
      </c>
      <c r="I259">
        <f>NORMDIST($A$259,0,'Range Analysis'!$F$7,FALSE())*(NORMDIST((('Range Analysis'!$F$5-0.98*'Range Analysis'!G30)-$A$259)/('Range Analysis'!G30/2),0,1,TRUE())-NORMDIST((-('Range Analysis'!$F$5-0.98*'Range Analysis'!G30)-$A$259)/('Range Analysis'!G30/2),0,1,TRUE()))</f>
        <v>0.16512434683197458</v>
      </c>
      <c r="J259">
        <f>NORMDIST($A$259,0,'Range Analysis'!$F$7,FALSE())*(NORMDIST((('Range Analysis'!$F$5-IF('Range Analysis'!H24&lt;=0,0,'Range Analysis'!G24*MAX(0,1.04-EXP(0.38*LN('Range Analysis'!H24)-0.54))))-$A$259)/('Range Analysis'!G24/2),0,1,TRUE())-NORMDIST((-('Range Analysis'!$F$5-IF('Range Analysis'!H24&lt;=0,0,'Range Analysis'!G24*MAX(0,1.04-EXP(0.38*LN('Range Analysis'!H24)-0.54))))-$A$259)/('Range Analysis'!G24/2),0,1,TRUE()))</f>
        <v>0.27171830252075579</v>
      </c>
      <c r="K259">
        <f>NORMDIST($A$259,0,'Range Analysis'!$F$7,FALSE())*(NORMDIST((('Range Analysis'!$F$5-IF('Range Analysis'!H25&lt;=0,0,'Range Analysis'!G25*MAX(0,1.04-EXP(0.38*LN('Range Analysis'!H25)-0.54))))-$A$259)/('Range Analysis'!G25/2),0,1,TRUE())-NORMDIST((-('Range Analysis'!$F$5-IF('Range Analysis'!H25&lt;=0,0,'Range Analysis'!G25*MAX(0,1.04-EXP(0.38*LN('Range Analysis'!H25)-0.54))))-$A$259)/('Range Analysis'!G25/2),0,1,TRUE()))</f>
        <v>0.27659346553690556</v>
      </c>
      <c r="L259">
        <f>NORMDIST($A$259,0,'Range Analysis'!$F$7,FALSE())*(NORMDIST((('Range Analysis'!$F$5-IF('Range Analysis'!H26&lt;=0,0,'Range Analysis'!G26*MAX(0,1.04-EXP(0.38*LN('Range Analysis'!H26)-0.54))))-$A$259)/('Range Analysis'!G26/2),0,1,TRUE())-NORMDIST((-('Range Analysis'!$F$5-IF('Range Analysis'!H26&lt;=0,0,'Range Analysis'!G26*MAX(0,1.04-EXP(0.38*LN('Range Analysis'!H26)-0.54))))-$A$259)/('Range Analysis'!G26/2),0,1,TRUE()))</f>
        <v>0.27661567642465756</v>
      </c>
      <c r="M259">
        <f>NORMDIST($A$259,0,'Range Analysis'!$F$7,FALSE())*(NORMDIST((('Range Analysis'!$F$5-IF('Range Analysis'!H27&lt;=0,0,'Range Analysis'!G27*MAX(0,1.04-EXP(0.38*LN('Range Analysis'!H27)-0.54))))-$A$259)/('Range Analysis'!G27/2),0,1,TRUE())-NORMDIST((-('Range Analysis'!$F$5-IF('Range Analysis'!H27&lt;=0,0,'Range Analysis'!G27*MAX(0,1.04-EXP(0.38*LN('Range Analysis'!H27)-0.54))))-$A$259)/('Range Analysis'!G27/2),0,1,TRUE()))</f>
        <v>0.276619270153518</v>
      </c>
      <c r="N259">
        <f>NORMDIST($A$259,0,'Range Analysis'!$F$7,FALSE())*(NORMDIST((('Range Analysis'!$F$5-IF('Range Analysis'!H28&lt;=0,0,'Range Analysis'!G28*MAX(0,1.04-EXP(0.38*LN('Range Analysis'!H28)-0.54))))-$A$259)/('Range Analysis'!G28/2),0,1,TRUE())-NORMDIST((-('Range Analysis'!$F$5-IF('Range Analysis'!H28&lt;=0,0,'Range Analysis'!G28*MAX(0,1.04-EXP(0.38*LN('Range Analysis'!H28)-0.54))))-$A$259)/('Range Analysis'!G28/2),0,1,TRUE()))</f>
        <v>0.27661927015713728</v>
      </c>
      <c r="O259">
        <f>NORMDIST($A$259,0,'Range Analysis'!$F$7,FALSE())*(NORMDIST((('Range Analysis'!$F$5-IF('Range Analysis'!H29&lt;=0,0,'Range Analysis'!G29*MAX(0,1.04-EXP(0.38*LN('Range Analysis'!H29)-0.54))))-$A$259)/('Range Analysis'!G29/2),0,1,TRUE())-NORMDIST((-('Range Analysis'!$F$5-IF('Range Analysis'!H29&lt;=0,0,'Range Analysis'!G29*MAX(0,1.04-EXP(0.38*LN('Range Analysis'!H29)-0.54))))-$A$259)/('Range Analysis'!G29/2),0,1,TRUE()))</f>
        <v>0.27171830252075579</v>
      </c>
      <c r="P259">
        <f>NORMDIST($A$259,0,'Range Analysis'!$F$7,FALSE())*(NORMDIST((('Range Analysis'!$F$5-IF('Range Analysis'!H30&lt;=0,0,'Range Analysis'!G30*MAX(0,1.04-EXP(0.38*LN('Range Analysis'!H30)-0.54))))-$A$259)/('Range Analysis'!G30/2),0,1,TRUE())-NORMDIST((-('Range Analysis'!$F$5-IF('Range Analysis'!H30&lt;=0,0,'Range Analysis'!G30*MAX(0,1.04-EXP(0.38*LN('Range Analysis'!H30)-0.54))))-$A$259)/('Range Analysis'!G30/2),0,1,TRUE()))</f>
        <v>0.26008702617296392</v>
      </c>
      <c r="Q259">
        <f>NORMDIST($A$259,0,'Range Analysis'!$F$7,FALSE())*(NORMDIST(('Range Analysis'!$F$5-$A$259)/('Range Analysis'!G24/2),0,1,TRUE())-NORMDIST((-'Range Analysis'!$F$5-$A$259)/('Range Analysis'!G24/2),0,1,TRUE()))</f>
        <v>0.27555969974345235</v>
      </c>
      <c r="R259">
        <f>NORMDIST($A$259,0,'Range Analysis'!$F$7,FALSE())*(NORMDIST(('Range Analysis'!$F$5-$A$259)/('Range Analysis'!G25/2),0,1,TRUE())-NORMDIST((-'Range Analysis'!$F$5-$A$259)/('Range Analysis'!G25/2),0,1,TRUE()))</f>
        <v>0.27661189006640169</v>
      </c>
      <c r="S259">
        <f>NORMDIST($A$259,0,'Range Analysis'!$F$7,FALSE())*(NORMDIST(('Range Analysis'!$F$5-$A$259)/('Range Analysis'!G26/2),0,1,TRUE())-NORMDIST((-'Range Analysis'!$F$5-$A$259)/('Range Analysis'!G26/2),0,1,TRUE()))</f>
        <v>0.27661805138267354</v>
      </c>
      <c r="T259">
        <f>NORMDIST($A$259,0,'Range Analysis'!$F$7,FALSE())*(NORMDIST(('Range Analysis'!$F$5-$A$259)/('Range Analysis'!G27/2),0,1,TRUE())-NORMDIST((-'Range Analysis'!$F$5-$A$259)/('Range Analysis'!G27/2),0,1,TRUE()))</f>
        <v>0.276619270153518</v>
      </c>
      <c r="U259">
        <f>NORMDIST($A$259,0,'Range Analysis'!$F$7,FALSE())*(NORMDIST(('Range Analysis'!$F$5-$A$259)/('Range Analysis'!G28/2),0,1,TRUE())-NORMDIST((-'Range Analysis'!$F$5-$A$259)/('Range Analysis'!G28/2),0,1,TRUE()))</f>
        <v>0.27661927015713728</v>
      </c>
      <c r="V259">
        <f>NORMDIST($A$259,0,'Range Analysis'!$F$7,FALSE())*(NORMDIST(('Range Analysis'!$F$5-$A$259)/('Range Analysis'!G29/2),0,1,TRUE())-NORMDIST((-'Range Analysis'!$F$5-$A$259)/('Range Analysis'!G29/2),0,1,TRUE()))</f>
        <v>0.27555969974345235</v>
      </c>
      <c r="W259">
        <f>NORMDIST($A$259,0,'Range Analysis'!$F$7,FALSE())*(NORMDIST((('Range Analysis'!$F$5-0)-$A$259)/('Range Analysis'!G30/2),0,1,TRUE())-NORMDIST((-('Range Analysis'!$F$5-0)-$A$259)/('Range Analysis'!G30/2),0,1,TRUE()))</f>
        <v>0.27298489358748579</v>
      </c>
    </row>
    <row r="260" spans="1:23" ht="15" customHeight="1" x14ac:dyDescent="0.25">
      <c r="A260">
        <f>-'Range Analysis'!$F$5+27*$B$232</f>
        <v>0.76923076923076916</v>
      </c>
      <c r="C260">
        <f>NORMDIST($A$260,0,'Range Analysis'!$F$7,FALSE())*(NORMDIST((('Range Analysis'!$F$5-0.98*'Range Analysis'!G24)-$A$260)/('Range Analysis'!G24/2),0,1,TRUE())-NORMDIST((-('Range Analysis'!$F$5-0.98*'Range Analysis'!G24)-$A$260)/('Range Analysis'!G24/2),0,1,TRUE()))</f>
        <v>0.18258359399588767</v>
      </c>
      <c r="D260">
        <f>NORMDIST($A$260,0,'Range Analysis'!$F$7,FALSE())*(NORMDIST((('Range Analysis'!$F$5-0.98*'Range Analysis'!G25)-$A$260)/('Range Analysis'!G25/2),0,1,TRUE())-NORMDIST((-('Range Analysis'!$F$5-0.98*'Range Analysis'!G25)-$A$260)/('Range Analysis'!G25/2),0,1,TRUE()))</f>
        <v>0.25378016660729114</v>
      </c>
      <c r="E260">
        <f>NORMDIST($A$260,0,'Range Analysis'!$F$7,FALSE())*(NORMDIST((('Range Analysis'!$F$5-0.98*'Range Analysis'!G26)-$A$260)/('Range Analysis'!G26/2),0,1,TRUE())-NORMDIST((-('Range Analysis'!$F$5-0.98*'Range Analysis'!G26)-$A$260)/('Range Analysis'!G26/2),0,1,TRUE()))</f>
        <v>0.25967138480139157</v>
      </c>
      <c r="F260">
        <f>NORMDIST($A$260,0,'Range Analysis'!$F$7,FALSE())*(NORMDIST((('Range Analysis'!$F$5-0.98*'Range Analysis'!G27)-$A$260)/('Range Analysis'!G27/2),0,1,TRUE())-NORMDIST((-('Range Analysis'!$F$5-0.98*'Range Analysis'!G27)-$A$260)/('Range Analysis'!G27/2),0,1,TRUE()))</f>
        <v>0.26390992738515695</v>
      </c>
      <c r="G260">
        <f>NORMDIST($A$260,0,'Range Analysis'!$F$7,FALSE())*(NORMDIST((('Range Analysis'!$F$5-0.98*'Range Analysis'!G28)-$A$260)/('Range Analysis'!G28/2),0,1,TRUE())-NORMDIST((-('Range Analysis'!$F$5-0.98*'Range Analysis'!G28)-$A$260)/('Range Analysis'!G28/2),0,1,TRUE()))</f>
        <v>0.26391354648478349</v>
      </c>
      <c r="H260">
        <f>NORMDIST($A$260,0,'Range Analysis'!$F$7,FALSE())*(NORMDIST((('Range Analysis'!$F$5-0.98*'Range Analysis'!G29)-$A$260)/('Range Analysis'!G29/2),0,1,TRUE())-NORMDIST((-('Range Analysis'!$F$5-0.98*'Range Analysis'!G29)-$A$260)/('Range Analysis'!G29/2),0,1,TRUE()))</f>
        <v>0.18258359399588767</v>
      </c>
      <c r="I260">
        <f>NORMDIST($A$260,0,'Range Analysis'!$F$7,FALSE())*(NORMDIST((('Range Analysis'!$F$5-0.98*'Range Analysis'!G30)-$A$260)/('Range Analysis'!G30/2),0,1,TRUE())-NORMDIST((-('Range Analysis'!$F$5-0.98*'Range Analysis'!G30)-$A$260)/('Range Analysis'!G30/2),0,1,TRUE()))</f>
        <v>0.14050885445522898</v>
      </c>
      <c r="J260">
        <f>NORMDIST($A$260,0,'Range Analysis'!$F$7,FALSE())*(NORMDIST((('Range Analysis'!$F$5-IF('Range Analysis'!H24&lt;=0,0,'Range Analysis'!G24*MAX(0,1.04-EXP(0.38*LN('Range Analysis'!H24)-0.54))))-$A$260)/('Range Analysis'!G24/2),0,1,TRUE())-NORMDIST((-('Range Analysis'!$F$5-IF('Range Analysis'!H24&lt;=0,0,'Range Analysis'!G24*MAX(0,1.04-EXP(0.38*LN('Range Analysis'!H24)-0.54))))-$A$260)/('Range Analysis'!G24/2),0,1,TRUE()))</f>
        <v>0.25630437888436552</v>
      </c>
      <c r="K260">
        <f>NORMDIST($A$260,0,'Range Analysis'!$F$7,FALSE())*(NORMDIST((('Range Analysis'!$F$5-IF('Range Analysis'!H25&lt;=0,0,'Range Analysis'!G25*MAX(0,1.04-EXP(0.38*LN('Range Analysis'!H25)-0.54))))-$A$260)/('Range Analysis'!G25/2),0,1,TRUE())-NORMDIST((-('Range Analysis'!$F$5-IF('Range Analysis'!H25&lt;=0,0,'Range Analysis'!G25*MAX(0,1.04-EXP(0.38*LN('Range Analysis'!H25)-0.54))))-$A$260)/('Range Analysis'!G25/2),0,1,TRUE()))</f>
        <v>0.26383263948916169</v>
      </c>
      <c r="L260">
        <f>NORMDIST($A$260,0,'Range Analysis'!$F$7,FALSE())*(NORMDIST((('Range Analysis'!$F$5-IF('Range Analysis'!H26&lt;=0,0,'Range Analysis'!G26*MAX(0,1.04-EXP(0.38*LN('Range Analysis'!H26)-0.54))))-$A$260)/('Range Analysis'!G26/2),0,1,TRUE())-NORMDIST((-('Range Analysis'!$F$5-IF('Range Analysis'!H26&lt;=0,0,'Range Analysis'!G26*MAX(0,1.04-EXP(0.38*LN('Range Analysis'!H26)-0.54))))-$A$260)/('Range Analysis'!G26/2),0,1,TRUE()))</f>
        <v>0.26389883967887956</v>
      </c>
      <c r="M260">
        <f>NORMDIST($A$260,0,'Range Analysis'!$F$7,FALSE())*(NORMDIST((('Range Analysis'!$F$5-IF('Range Analysis'!H27&lt;=0,0,'Range Analysis'!G27*MAX(0,1.04-EXP(0.38*LN('Range Analysis'!H27)-0.54))))-$A$260)/('Range Analysis'!G27/2),0,1,TRUE())-NORMDIST((-('Range Analysis'!$F$5-IF('Range Analysis'!H27&lt;=0,0,'Range Analysis'!G27*MAX(0,1.04-EXP(0.38*LN('Range Analysis'!H27)-0.54))))-$A$260)/('Range Analysis'!G27/2),0,1,TRUE()))</f>
        <v>0.26391354638498982</v>
      </c>
      <c r="N260">
        <f>NORMDIST($A$260,0,'Range Analysis'!$F$7,FALSE())*(NORMDIST((('Range Analysis'!$F$5-IF('Range Analysis'!H28&lt;=0,0,'Range Analysis'!G28*MAX(0,1.04-EXP(0.38*LN('Range Analysis'!H28)-0.54))))-$A$260)/('Range Analysis'!G28/2),0,1,TRUE())-NORMDIST((-('Range Analysis'!$F$5-IF('Range Analysis'!H28&lt;=0,0,'Range Analysis'!G28*MAX(0,1.04-EXP(0.38*LN('Range Analysis'!H28)-0.54))))-$A$260)/('Range Analysis'!G28/2),0,1,TRUE()))</f>
        <v>0.26391354648478349</v>
      </c>
      <c r="O260">
        <f>NORMDIST($A$260,0,'Range Analysis'!$F$7,FALSE())*(NORMDIST((('Range Analysis'!$F$5-IF('Range Analysis'!H29&lt;=0,0,'Range Analysis'!G29*MAX(0,1.04-EXP(0.38*LN('Range Analysis'!H29)-0.54))))-$A$260)/('Range Analysis'!G29/2),0,1,TRUE())-NORMDIST((-('Range Analysis'!$F$5-IF('Range Analysis'!H29&lt;=0,0,'Range Analysis'!G29*MAX(0,1.04-EXP(0.38*LN('Range Analysis'!H29)-0.54))))-$A$260)/('Range Analysis'!G29/2),0,1,TRUE()))</f>
        <v>0.25630437888436552</v>
      </c>
      <c r="P260">
        <f>NORMDIST($A$260,0,'Range Analysis'!$F$7,FALSE())*(NORMDIST((('Range Analysis'!$F$5-IF('Range Analysis'!H30&lt;=0,0,'Range Analysis'!G30*MAX(0,1.04-EXP(0.38*LN('Range Analysis'!H30)-0.54))))-$A$260)/('Range Analysis'!G30/2),0,1,TRUE())-NORMDIST((-('Range Analysis'!$F$5-IF('Range Analysis'!H30&lt;=0,0,'Range Analysis'!G30*MAX(0,1.04-EXP(0.38*LN('Range Analysis'!H30)-0.54))))-$A$260)/('Range Analysis'!G30/2),0,1,TRUE()))</f>
        <v>0.2420506820554264</v>
      </c>
      <c r="Q260">
        <f>NORMDIST($A$260,0,'Range Analysis'!$F$7,FALSE())*(NORMDIST(('Range Analysis'!$F$5-$A$260)/('Range Analysis'!G24/2),0,1,TRUE())-NORMDIST((-'Range Analysis'!$F$5-$A$260)/('Range Analysis'!G24/2),0,1,TRUE()))</f>
        <v>0.26208801862538522</v>
      </c>
      <c r="R260">
        <f>NORMDIST($A$260,0,'Range Analysis'!$F$7,FALSE())*(NORMDIST(('Range Analysis'!$F$5-$A$260)/('Range Analysis'!G25/2),0,1,TRUE())-NORMDIST((-'Range Analysis'!$F$5-$A$260)/('Range Analysis'!G25/2),0,1,TRUE()))</f>
        <v>0.26388823966386848</v>
      </c>
      <c r="S260">
        <f>NORMDIST($A$260,0,'Range Analysis'!$F$7,FALSE())*(NORMDIST(('Range Analysis'!$F$5-$A$260)/('Range Analysis'!G26/2),0,1,TRUE())-NORMDIST((-'Range Analysis'!$F$5-$A$260)/('Range Analysis'!G26/2),0,1,TRUE()))</f>
        <v>0.26390815477589968</v>
      </c>
      <c r="T260">
        <f>NORMDIST($A$260,0,'Range Analysis'!$F$7,FALSE())*(NORMDIST(('Range Analysis'!$F$5-$A$260)/('Range Analysis'!G27/2),0,1,TRUE())-NORMDIST((-'Range Analysis'!$F$5-$A$260)/('Range Analysis'!G27/2),0,1,TRUE()))</f>
        <v>0.26391354638498982</v>
      </c>
      <c r="U260">
        <f>NORMDIST($A$260,0,'Range Analysis'!$F$7,FALSE())*(NORMDIST(('Range Analysis'!$F$5-$A$260)/('Range Analysis'!G28/2),0,1,TRUE())-NORMDIST((-'Range Analysis'!$F$5-$A$260)/('Range Analysis'!G28/2),0,1,TRUE()))</f>
        <v>0.26391354648478349</v>
      </c>
      <c r="V260">
        <f>NORMDIST($A$260,0,'Range Analysis'!$F$7,FALSE())*(NORMDIST(('Range Analysis'!$F$5-$A$260)/('Range Analysis'!G29/2),0,1,TRUE())-NORMDIST((-'Range Analysis'!$F$5-$A$260)/('Range Analysis'!G29/2),0,1,TRUE()))</f>
        <v>0.26208801862538522</v>
      </c>
      <c r="W260">
        <f>NORMDIST($A$260,0,'Range Analysis'!$F$7,FALSE())*(NORMDIST((('Range Analysis'!$F$5-0)-$A$260)/('Range Analysis'!G30/2),0,1,TRUE())-NORMDIST((-('Range Analysis'!$F$5-0)-$A$260)/('Range Analysis'!G30/2),0,1,TRUE()))</f>
        <v>0.25860315581888438</v>
      </c>
    </row>
    <row r="261" spans="1:23" ht="15" customHeight="1" x14ac:dyDescent="0.25">
      <c r="A261">
        <f>-'Range Analysis'!$F$5+28*$B$232</f>
        <v>0.87179487179487181</v>
      </c>
      <c r="C261">
        <f>NORMDIST($A$261,0,'Range Analysis'!$F$7,FALSE())*(NORMDIST((('Range Analysis'!$F$5-0.98*'Range Analysis'!G24)-$A$261)/('Range Analysis'!G24/2),0,1,TRUE())-NORMDIST((-('Range Analysis'!$F$5-0.98*'Range Analysis'!G24)-$A$261)/('Range Analysis'!G24/2),0,1,TRUE()))</f>
        <v>0.15418127203672655</v>
      </c>
      <c r="D261">
        <f>NORMDIST($A$261,0,'Range Analysis'!$F$7,FALSE())*(NORMDIST((('Range Analysis'!$F$5-0.98*'Range Analysis'!G25)-$A$261)/('Range Analysis'!G25/2),0,1,TRUE())-NORMDIST((-('Range Analysis'!$F$5-0.98*'Range Analysis'!G25)-$A$261)/('Range Analysis'!G25/2),0,1,TRUE()))</f>
        <v>0.23202070503020975</v>
      </c>
      <c r="E261">
        <f>NORMDIST($A$261,0,'Range Analysis'!$F$7,FALSE())*(NORMDIST((('Range Analysis'!$F$5-0.98*'Range Analysis'!G26)-$A$261)/('Range Analysis'!G26/2),0,1,TRUE())-NORMDIST((-('Range Analysis'!$F$5-0.98*'Range Analysis'!G26)-$A$261)/('Range Analysis'!G26/2),0,1,TRUE()))</f>
        <v>0.24113286836652384</v>
      </c>
      <c r="F261">
        <f>NORMDIST($A$261,0,'Range Analysis'!$F$7,FALSE())*(NORMDIST((('Range Analysis'!$F$5-0.98*'Range Analysis'!G27)-$A$261)/('Range Analysis'!G27/2),0,1,TRUE())-NORMDIST((-('Range Analysis'!$F$5-0.98*'Range Analysis'!G27)-$A$261)/('Range Analysis'!G27/2),0,1,TRUE()))</f>
        <v>0.25007670530357407</v>
      </c>
      <c r="G261">
        <f>NORMDIST($A$261,0,'Range Analysis'!$F$7,FALSE())*(NORMDIST((('Range Analysis'!$F$5-0.98*'Range Analysis'!G28)-$A$261)/('Range Analysis'!G28/2),0,1,TRUE())-NORMDIST((-('Range Analysis'!$F$5-0.98*'Range Analysis'!G28)-$A$261)/('Range Analysis'!G28/2),0,1,TRUE()))</f>
        <v>0.25010575479189689</v>
      </c>
      <c r="H261">
        <f>NORMDIST($A$261,0,'Range Analysis'!$F$7,FALSE())*(NORMDIST((('Range Analysis'!$F$5-0.98*'Range Analysis'!G29)-$A$261)/('Range Analysis'!G29/2),0,1,TRUE())-NORMDIST((-('Range Analysis'!$F$5-0.98*'Range Analysis'!G29)-$A$261)/('Range Analysis'!G29/2),0,1,TRUE()))</f>
        <v>0.15418127203672655</v>
      </c>
      <c r="I261">
        <f>NORMDIST($A$261,0,'Range Analysis'!$F$7,FALSE())*(NORMDIST((('Range Analysis'!$F$5-0.98*'Range Analysis'!G30)-$A$261)/('Range Analysis'!G30/2),0,1,TRUE())-NORMDIST((-('Range Analysis'!$F$5-0.98*'Range Analysis'!G30)-$A$261)/('Range Analysis'!G30/2),0,1,TRUE()))</f>
        <v>0.11652434864813674</v>
      </c>
      <c r="J261">
        <f>NORMDIST($A$261,0,'Range Analysis'!$F$7,FALSE())*(NORMDIST((('Range Analysis'!$F$5-IF('Range Analysis'!H24&lt;=0,0,'Range Analysis'!G24*MAX(0,1.04-EXP(0.38*LN('Range Analysis'!H24)-0.54))))-$A$261)/('Range Analysis'!G24/2),0,1,TRUE())-NORMDIST((-('Range Analysis'!$F$5-IF('Range Analysis'!H24&lt;=0,0,'Range Analysis'!G24*MAX(0,1.04-EXP(0.38*LN('Range Analysis'!H24)-0.54))))-$A$261)/('Range Analysis'!G24/2),0,1,TRUE()))</f>
        <v>0.23879685817679791</v>
      </c>
      <c r="K261">
        <f>NORMDIST($A$261,0,'Range Analysis'!$F$7,FALSE())*(NORMDIST((('Range Analysis'!$F$5-IF('Range Analysis'!H25&lt;=0,0,'Range Analysis'!G25*MAX(0,1.04-EXP(0.38*LN('Range Analysis'!H25)-0.54))))-$A$261)/('Range Analysis'!G25/2),0,1,TRUE())-NORMDIST((-('Range Analysis'!$F$5-IF('Range Analysis'!H25&lt;=0,0,'Range Analysis'!G25*MAX(0,1.04-EXP(0.38*LN('Range Analysis'!H25)-0.54))))-$A$261)/('Range Analysis'!G25/2),0,1,TRUE()))</f>
        <v>0.2498756774228986</v>
      </c>
      <c r="L261">
        <f>NORMDIST($A$261,0,'Range Analysis'!$F$7,FALSE())*(NORMDIST((('Range Analysis'!$F$5-IF('Range Analysis'!H26&lt;=0,0,'Range Analysis'!G26*MAX(0,1.04-EXP(0.38*LN('Range Analysis'!H26)-0.54))))-$A$261)/('Range Analysis'!G26/2),0,1,TRUE())-NORMDIST((-('Range Analysis'!$F$5-IF('Range Analysis'!H26&lt;=0,0,'Range Analysis'!G26*MAX(0,1.04-EXP(0.38*LN('Range Analysis'!H26)-0.54))))-$A$261)/('Range Analysis'!G26/2),0,1,TRUE()))</f>
        <v>0.25005225963770739</v>
      </c>
      <c r="M261">
        <f>NORMDIST($A$261,0,'Range Analysis'!$F$7,FALSE())*(NORMDIST((('Range Analysis'!$F$5-IF('Range Analysis'!H27&lt;=0,0,'Range Analysis'!G27*MAX(0,1.04-EXP(0.38*LN('Range Analysis'!H27)-0.54))))-$A$261)/('Range Analysis'!G27/2),0,1,TRUE())-NORMDIST((-('Range Analysis'!$F$5-IF('Range Analysis'!H27&lt;=0,0,'Range Analysis'!G27*MAX(0,1.04-EXP(0.38*LN('Range Analysis'!H27)-0.54))))-$A$261)/('Range Analysis'!G27/2),0,1,TRUE()))</f>
        <v>0.25010575267800078</v>
      </c>
      <c r="N261">
        <f>NORMDIST($A$261,0,'Range Analysis'!$F$7,FALSE())*(NORMDIST((('Range Analysis'!$F$5-IF('Range Analysis'!H28&lt;=0,0,'Range Analysis'!G28*MAX(0,1.04-EXP(0.38*LN('Range Analysis'!H28)-0.54))))-$A$261)/('Range Analysis'!G28/2),0,1,TRUE())-NORMDIST((-('Range Analysis'!$F$5-IF('Range Analysis'!H28&lt;=0,0,'Range Analysis'!G28*MAX(0,1.04-EXP(0.38*LN('Range Analysis'!H28)-0.54))))-$A$261)/('Range Analysis'!G28/2),0,1,TRUE()))</f>
        <v>0.25010575479189689</v>
      </c>
      <c r="O261">
        <f>NORMDIST($A$261,0,'Range Analysis'!$F$7,FALSE())*(NORMDIST((('Range Analysis'!$F$5-IF('Range Analysis'!H29&lt;=0,0,'Range Analysis'!G29*MAX(0,1.04-EXP(0.38*LN('Range Analysis'!H29)-0.54))))-$A$261)/('Range Analysis'!G29/2),0,1,TRUE())-NORMDIST((-('Range Analysis'!$F$5-IF('Range Analysis'!H29&lt;=0,0,'Range Analysis'!G29*MAX(0,1.04-EXP(0.38*LN('Range Analysis'!H29)-0.54))))-$A$261)/('Range Analysis'!G29/2),0,1,TRUE()))</f>
        <v>0.23879685817679791</v>
      </c>
      <c r="P261">
        <f>NORMDIST($A$261,0,'Range Analysis'!$F$7,FALSE())*(NORMDIST((('Range Analysis'!$F$5-IF('Range Analysis'!H30&lt;=0,0,'Range Analysis'!G30*MAX(0,1.04-EXP(0.38*LN('Range Analysis'!H30)-0.54))))-$A$261)/('Range Analysis'!G30/2),0,1,TRUE())-NORMDIST((-('Range Analysis'!$F$5-IF('Range Analysis'!H30&lt;=0,0,'Range Analysis'!G30*MAX(0,1.04-EXP(0.38*LN('Range Analysis'!H30)-0.54))))-$A$261)/('Range Analysis'!G30/2),0,1,TRUE()))</f>
        <v>0.2220685882537107</v>
      </c>
      <c r="Q261">
        <f>NORMDIST($A$261,0,'Range Analysis'!$F$7,FALSE())*(NORMDIST(('Range Analysis'!$F$5-$A$261)/('Range Analysis'!G24/2),0,1,TRUE())-NORMDIST((-'Range Analysis'!$F$5-$A$261)/('Range Analysis'!G24/2),0,1,TRUE()))</f>
        <v>0.24709886346027152</v>
      </c>
      <c r="R261">
        <f>NORMDIST($A$261,0,'Range Analysis'!$F$7,FALSE())*(NORMDIST(('Range Analysis'!$F$5-$A$261)/('Range Analysis'!G25/2),0,1,TRUE())-NORMDIST((-'Range Analysis'!$F$5-$A$261)/('Range Analysis'!G25/2),0,1,TRUE()))</f>
        <v>0.25002710009719686</v>
      </c>
      <c r="S261">
        <f>NORMDIST($A$261,0,'Range Analysis'!$F$7,FALSE())*(NORMDIST(('Range Analysis'!$F$5-$A$261)/('Range Analysis'!G26/2),0,1,TRUE())-NORMDIST((-'Range Analysis'!$F$5-$A$261)/('Range Analysis'!G26/2),0,1,TRUE()))</f>
        <v>0.25008456463914713</v>
      </c>
      <c r="T261">
        <f>NORMDIST($A$261,0,'Range Analysis'!$F$7,FALSE())*(NORMDIST(('Range Analysis'!$F$5-$A$261)/('Range Analysis'!G27/2),0,1,TRUE())-NORMDIST((-'Range Analysis'!$F$5-$A$261)/('Range Analysis'!G27/2),0,1,TRUE()))</f>
        <v>0.25010575267800078</v>
      </c>
      <c r="U261">
        <f>NORMDIST($A$261,0,'Range Analysis'!$F$7,FALSE())*(NORMDIST(('Range Analysis'!$F$5-$A$261)/('Range Analysis'!G28/2),0,1,TRUE())-NORMDIST((-'Range Analysis'!$F$5-$A$261)/('Range Analysis'!G28/2),0,1,TRUE()))</f>
        <v>0.25010575479189689</v>
      </c>
      <c r="V261">
        <f>NORMDIST($A$261,0,'Range Analysis'!$F$7,FALSE())*(NORMDIST(('Range Analysis'!$F$5-$A$261)/('Range Analysis'!G29/2),0,1,TRUE())-NORMDIST((-'Range Analysis'!$F$5-$A$261)/('Range Analysis'!G29/2),0,1,TRUE()))</f>
        <v>0.24709886346027152</v>
      </c>
      <c r="W261">
        <f>NORMDIST($A$261,0,'Range Analysis'!$F$7,FALSE())*(NORMDIST((('Range Analysis'!$F$5-0)-$A$261)/('Range Analysis'!G30/2),0,1,TRUE())-NORMDIST((-('Range Analysis'!$F$5-0)-$A$261)/('Range Analysis'!G30/2),0,1,TRUE()))</f>
        <v>0.24259467910223012</v>
      </c>
    </row>
    <row r="262" spans="1:23" ht="15" customHeight="1" x14ac:dyDescent="0.25">
      <c r="A262">
        <f>-'Range Analysis'!$F$5+29*$B$232</f>
        <v>0.97435897435897445</v>
      </c>
      <c r="C262">
        <f>NORMDIST($A$262,0,'Range Analysis'!$F$7,FALSE())*(NORMDIST((('Range Analysis'!$F$5-0.98*'Range Analysis'!G24)-$A$262)/('Range Analysis'!G24/2),0,1,TRUE())-NORMDIST((-('Range Analysis'!$F$5-0.98*'Range Analysis'!G24)-$A$262)/('Range Analysis'!G24/2),0,1,TRUE()))</f>
        <v>0.12627069986197581</v>
      </c>
      <c r="D262">
        <f>NORMDIST($A$262,0,'Range Analysis'!$F$7,FALSE())*(NORMDIST((('Range Analysis'!$F$5-0.98*'Range Analysis'!G25)-$A$262)/('Range Analysis'!G25/2),0,1,TRUE())-NORMDIST((-('Range Analysis'!$F$5-0.98*'Range Analysis'!G25)-$A$262)/('Range Analysis'!G25/2),0,1,TRUE()))</f>
        <v>0.20589053168460589</v>
      </c>
      <c r="E262">
        <f>NORMDIST($A$262,0,'Range Analysis'!$F$7,FALSE())*(NORMDIST((('Range Analysis'!$F$5-0.98*'Range Analysis'!G26)-$A$262)/('Range Analysis'!G26/2),0,1,TRUE())-NORMDIST((-('Range Analysis'!$F$5-0.98*'Range Analysis'!G26)-$A$262)/('Range Analysis'!G26/2),0,1,TRUE()))</f>
        <v>0.21840948473570285</v>
      </c>
      <c r="F262">
        <f>NORMDIST($A$262,0,'Range Analysis'!$F$7,FALSE())*(NORMDIST((('Range Analysis'!$F$5-0.98*'Range Analysis'!G27)-$A$262)/('Range Analysis'!G27/2),0,1,TRUE())-NORMDIST((-('Range Analysis'!$F$5-0.98*'Range Analysis'!G27)-$A$262)/('Range Analysis'!G27/2),0,1,TRUE()))</f>
        <v>0.2352530385788654</v>
      </c>
      <c r="G262">
        <f>NORMDIST($A$262,0,'Range Analysis'!$F$7,FALSE())*(NORMDIST((('Range Analysis'!$F$5-0.98*'Range Analysis'!G28)-$A$262)/('Range Analysis'!G28/2),0,1,TRUE())-NORMDIST((-('Range Analysis'!$F$5-0.98*'Range Analysis'!G28)-$A$262)/('Range Analysis'!G28/2),0,1,TRUE()))</f>
        <v>0.2354335964368407</v>
      </c>
      <c r="H262">
        <f>NORMDIST($A$262,0,'Range Analysis'!$F$7,FALSE())*(NORMDIST((('Range Analysis'!$F$5-0.98*'Range Analysis'!G29)-$A$262)/('Range Analysis'!G29/2),0,1,TRUE())-NORMDIST((-('Range Analysis'!$F$5-0.98*'Range Analysis'!G29)-$A$262)/('Range Analysis'!G29/2),0,1,TRUE()))</f>
        <v>0.12627069986197581</v>
      </c>
      <c r="I262">
        <f>NORMDIST($A$262,0,'Range Analysis'!$F$7,FALSE())*(NORMDIST((('Range Analysis'!$F$5-0.98*'Range Analysis'!G30)-$A$262)/('Range Analysis'!G30/2),0,1,TRUE())-NORMDIST((-('Range Analysis'!$F$5-0.98*'Range Analysis'!G30)-$A$262)/('Range Analysis'!G30/2),0,1,TRUE()))</f>
        <v>9.4102875019034249E-2</v>
      </c>
      <c r="J262">
        <f>NORMDIST($A$262,0,'Range Analysis'!$F$7,FALSE())*(NORMDIST((('Range Analysis'!$F$5-IF('Range Analysis'!H24&lt;=0,0,'Range Analysis'!G24*MAX(0,1.04-EXP(0.38*LN('Range Analysis'!H24)-0.54))))-$A$262)/('Range Analysis'!G24/2),0,1,TRUE())-NORMDIST((-('Range Analysis'!$F$5-IF('Range Analysis'!H24&lt;=0,0,'Range Analysis'!G24*MAX(0,1.04-EXP(0.38*LN('Range Analysis'!H24)-0.54))))-$A$262)/('Range Analysis'!G24/2),0,1,TRUE()))</f>
        <v>0.21933544468900926</v>
      </c>
      <c r="K262">
        <f>NORMDIST($A$262,0,'Range Analysis'!$F$7,FALSE())*(NORMDIST((('Range Analysis'!$F$5-IF('Range Analysis'!H25&lt;=0,0,'Range Analysis'!G25*MAX(0,1.04-EXP(0.38*LN('Range Analysis'!H25)-0.54))))-$A$262)/('Range Analysis'!G25/2),0,1,TRUE())-NORMDIST((-('Range Analysis'!$F$5-IF('Range Analysis'!H25&lt;=0,0,'Range Analysis'!G25*MAX(0,1.04-EXP(0.38*LN('Range Analysis'!H25)-0.54))))-$A$262)/('Range Analysis'!G25/2),0,1,TRUE()))</f>
        <v>0.23483969779775504</v>
      </c>
      <c r="L262">
        <f>NORMDIST($A$262,0,'Range Analysis'!$F$7,FALSE())*(NORMDIST((('Range Analysis'!$F$5-IF('Range Analysis'!H26&lt;=0,0,'Range Analysis'!G26*MAX(0,1.04-EXP(0.38*LN('Range Analysis'!H26)-0.54))))-$A$262)/('Range Analysis'!G26/2),0,1,TRUE())-NORMDIST((-('Range Analysis'!$F$5-IF('Range Analysis'!H26&lt;=0,0,'Range Analysis'!G26*MAX(0,1.04-EXP(0.38*LN('Range Analysis'!H26)-0.54))))-$A$262)/('Range Analysis'!G26/2),0,1,TRUE()))</f>
        <v>0.23526049446284722</v>
      </c>
      <c r="M262">
        <f>NORMDIST($A$262,0,'Range Analysis'!$F$7,FALSE())*(NORMDIST((('Range Analysis'!$F$5-IF('Range Analysis'!H27&lt;=0,0,'Range Analysis'!G27*MAX(0,1.04-EXP(0.38*LN('Range Analysis'!H27)-0.54))))-$A$262)/('Range Analysis'!G27/2),0,1,TRUE())-NORMDIST((-('Range Analysis'!$F$5-IF('Range Analysis'!H27&lt;=0,0,'Range Analysis'!G27*MAX(0,1.04-EXP(0.38*LN('Range Analysis'!H27)-0.54))))-$A$262)/('Range Analysis'!G27/2),0,1,TRUE()))</f>
        <v>0.2354335620026031</v>
      </c>
      <c r="N262">
        <f>NORMDIST($A$262,0,'Range Analysis'!$F$7,FALSE())*(NORMDIST((('Range Analysis'!$F$5-IF('Range Analysis'!H28&lt;=0,0,'Range Analysis'!G28*MAX(0,1.04-EXP(0.38*LN('Range Analysis'!H28)-0.54))))-$A$262)/('Range Analysis'!G28/2),0,1,TRUE())-NORMDIST((-('Range Analysis'!$F$5-IF('Range Analysis'!H28&lt;=0,0,'Range Analysis'!G28*MAX(0,1.04-EXP(0.38*LN('Range Analysis'!H28)-0.54))))-$A$262)/('Range Analysis'!G28/2),0,1,TRUE()))</f>
        <v>0.2354335964368407</v>
      </c>
      <c r="O262">
        <f>NORMDIST($A$262,0,'Range Analysis'!$F$7,FALSE())*(NORMDIST((('Range Analysis'!$F$5-IF('Range Analysis'!H29&lt;=0,0,'Range Analysis'!G29*MAX(0,1.04-EXP(0.38*LN('Range Analysis'!H29)-0.54))))-$A$262)/('Range Analysis'!G29/2),0,1,TRUE())-NORMDIST((-('Range Analysis'!$F$5-IF('Range Analysis'!H29&lt;=0,0,'Range Analysis'!G29*MAX(0,1.04-EXP(0.38*LN('Range Analysis'!H29)-0.54))))-$A$262)/('Range Analysis'!G29/2),0,1,TRUE()))</f>
        <v>0.21933544468900926</v>
      </c>
      <c r="P262">
        <f>NORMDIST($A$262,0,'Range Analysis'!$F$7,FALSE())*(NORMDIST((('Range Analysis'!$F$5-IF('Range Analysis'!H30&lt;=0,0,'Range Analysis'!G30*MAX(0,1.04-EXP(0.38*LN('Range Analysis'!H30)-0.54))))-$A$262)/('Range Analysis'!G30/2),0,1,TRUE())-NORMDIST((-('Range Analysis'!$F$5-IF('Range Analysis'!H30&lt;=0,0,'Range Analysis'!G30*MAX(0,1.04-EXP(0.38*LN('Range Analysis'!H30)-0.54))))-$A$262)/('Range Analysis'!G30/2),0,1,TRUE()))</f>
        <v>0.20056219995017369</v>
      </c>
      <c r="Q262">
        <f>NORMDIST($A$262,0,'Range Analysis'!$F$7,FALSE())*(NORMDIST(('Range Analysis'!$F$5-$A$262)/('Range Analysis'!G24/2),0,1,TRUE())-NORMDIST((-'Range Analysis'!$F$5-$A$262)/('Range Analysis'!G24/2),0,1,TRUE()))</f>
        <v>0.23069673250401815</v>
      </c>
      <c r="R262">
        <f>NORMDIST($A$262,0,'Range Analysis'!$F$7,FALSE())*(NORMDIST(('Range Analysis'!$F$5-$A$262)/('Range Analysis'!G25/2),0,1,TRUE())-NORMDIST((-'Range Analysis'!$F$5-$A$262)/('Range Analysis'!G25/2),0,1,TRUE()))</f>
        <v>0.23521186968169261</v>
      </c>
      <c r="S262">
        <f>NORMDIST($A$262,0,'Range Analysis'!$F$7,FALSE())*(NORMDIST(('Range Analysis'!$F$5-$A$262)/('Range Analysis'!G26/2),0,1,TRUE())-NORMDIST((-'Range Analysis'!$F$5-$A$262)/('Range Analysis'!G26/2),0,1,TRUE()))</f>
        <v>0.23535955592679614</v>
      </c>
      <c r="T262">
        <f>NORMDIST($A$262,0,'Range Analysis'!$F$7,FALSE())*(NORMDIST(('Range Analysis'!$F$5-$A$262)/('Range Analysis'!G27/2),0,1,TRUE())-NORMDIST((-'Range Analysis'!$F$5-$A$262)/('Range Analysis'!G27/2),0,1,TRUE()))</f>
        <v>0.2354335620026031</v>
      </c>
      <c r="U262">
        <f>NORMDIST($A$262,0,'Range Analysis'!$F$7,FALSE())*(NORMDIST(('Range Analysis'!$F$5-$A$262)/('Range Analysis'!G28/2),0,1,TRUE())-NORMDIST((-'Range Analysis'!$F$5-$A$262)/('Range Analysis'!G28/2),0,1,TRUE()))</f>
        <v>0.2354335964368407</v>
      </c>
      <c r="V262">
        <f>NORMDIST($A$262,0,'Range Analysis'!$F$7,FALSE())*(NORMDIST(('Range Analysis'!$F$5-$A$262)/('Range Analysis'!G29/2),0,1,TRUE())-NORMDIST((-'Range Analysis'!$F$5-$A$262)/('Range Analysis'!G29/2),0,1,TRUE()))</f>
        <v>0.23069673250401815</v>
      </c>
      <c r="W262">
        <f>NORMDIST($A$262,0,'Range Analysis'!$F$7,FALSE())*(NORMDIST((('Range Analysis'!$F$5-0)-$A$262)/('Range Analysis'!G30/2),0,1,TRUE())-NORMDIST((-('Range Analysis'!$F$5-0)-$A$262)/('Range Analysis'!G30/2),0,1,TRUE()))</f>
        <v>0.22514782286415969</v>
      </c>
    </row>
    <row r="263" spans="1:23" ht="15" customHeight="1" x14ac:dyDescent="0.25">
      <c r="A263">
        <f>-'Range Analysis'!$F$5+30*$B$232</f>
        <v>1.0769230769230766</v>
      </c>
      <c r="C263">
        <f>NORMDIST($A$263,0,'Range Analysis'!$F$7,FALSE())*(NORMDIST((('Range Analysis'!$F$5-0.98*'Range Analysis'!G24)-$A$263)/('Range Analysis'!G24/2),0,1,TRUE())-NORMDIST((-('Range Analysis'!$F$5-0.98*'Range Analysis'!G24)-$A$263)/('Range Analysis'!G24/2),0,1,TRUE()))</f>
        <v>0.10008951229137944</v>
      </c>
      <c r="D263">
        <f>NORMDIST($A$263,0,'Range Analysis'!$F$7,FALSE())*(NORMDIST((('Range Analysis'!$F$5-0.98*'Range Analysis'!G25)-$A$263)/('Range Analysis'!G25/2),0,1,TRUE())-NORMDIST((-('Range Analysis'!$F$5-0.98*'Range Analysis'!G25)-$A$263)/('Range Analysis'!G25/2),0,1,TRUE()))</f>
        <v>0.17583795818623704</v>
      </c>
      <c r="E263">
        <f>NORMDIST($A$263,0,'Range Analysis'!$F$7,FALSE())*(NORMDIST((('Range Analysis'!$F$5-0.98*'Range Analysis'!G26)-$A$263)/('Range Analysis'!G26/2),0,1,TRUE())-NORMDIST((-('Range Analysis'!$F$5-0.98*'Range Analysis'!G26)-$A$263)/('Range Analysis'!G26/2),0,1,TRUE()))</f>
        <v>0.19107719427764297</v>
      </c>
      <c r="F263">
        <f>NORMDIST($A$263,0,'Range Analysis'!$F$7,FALSE())*(NORMDIST((('Range Analysis'!$F$5-0.98*'Range Analysis'!G27)-$A$263)/('Range Analysis'!G27/2),0,1,TRUE())-NORMDIST((-('Range Analysis'!$F$5-0.98*'Range Analysis'!G27)-$A$263)/('Range Analysis'!G27/2),0,1,TRUE()))</f>
        <v>0.21926652095476454</v>
      </c>
      <c r="G263">
        <f>NORMDIST($A$263,0,'Range Analysis'!$F$7,FALSE())*(NORMDIST((('Range Analysis'!$F$5-0.98*'Range Analysis'!G28)-$A$263)/('Range Analysis'!G28/2),0,1,TRUE())-NORMDIST((-('Range Analysis'!$F$5-0.98*'Range Analysis'!G28)-$A$263)/('Range Analysis'!G28/2),0,1,TRUE()))</f>
        <v>0.22013846773407905</v>
      </c>
      <c r="H263">
        <f>NORMDIST($A$263,0,'Range Analysis'!$F$7,FALSE())*(NORMDIST((('Range Analysis'!$F$5-0.98*'Range Analysis'!G29)-$A$263)/('Range Analysis'!G29/2),0,1,TRUE())-NORMDIST((-('Range Analysis'!$F$5-0.98*'Range Analysis'!G29)-$A$263)/('Range Analysis'!G29/2),0,1,TRUE()))</f>
        <v>0.10008951229137944</v>
      </c>
      <c r="I263">
        <f>NORMDIST($A$263,0,'Range Analysis'!$F$7,FALSE())*(NORMDIST((('Range Analysis'!$F$5-0.98*'Range Analysis'!G30)-$A$263)/('Range Analysis'!G30/2),0,1,TRUE())-NORMDIST((-('Range Analysis'!$F$5-0.98*'Range Analysis'!G30)-$A$263)/('Range Analysis'!G30/2),0,1,TRUE()))</f>
        <v>7.3947604197491745E-2</v>
      </c>
      <c r="J263">
        <f>NORMDIST($A$263,0,'Range Analysis'!$F$7,FALSE())*(NORMDIST((('Range Analysis'!$F$5-IF('Range Analysis'!H24&lt;=0,0,'Range Analysis'!G24*MAX(0,1.04-EXP(0.38*LN('Range Analysis'!H24)-0.54))))-$A$263)/('Range Analysis'!G24/2),0,1,TRUE())-NORMDIST((-('Range Analysis'!$F$5-IF('Range Analysis'!H24&lt;=0,0,'Range Analysis'!G24*MAX(0,1.04-EXP(0.38*LN('Range Analysis'!H24)-0.54))))-$A$263)/('Range Analysis'!G24/2),0,1,TRUE()))</f>
        <v>0.19817525065116776</v>
      </c>
      <c r="K263">
        <f>NORMDIST($A$263,0,'Range Analysis'!$F$7,FALSE())*(NORMDIST((('Range Analysis'!$F$5-IF('Range Analysis'!H25&lt;=0,0,'Range Analysis'!G25*MAX(0,1.04-EXP(0.38*LN('Range Analysis'!H25)-0.54))))-$A$263)/('Range Analysis'!G25/2),0,1,TRUE())-NORMDIST((-('Range Analysis'!$F$5-IF('Range Analysis'!H25&lt;=0,0,'Range Analysis'!G25*MAX(0,1.04-EXP(0.38*LN('Range Analysis'!H25)-0.54))))-$A$263)/('Range Analysis'!G25/2),0,1,TRUE()))</f>
        <v>0.21874555459044859</v>
      </c>
      <c r="L263">
        <f>NORMDIST($A$263,0,'Range Analysis'!$F$7,FALSE())*(NORMDIST((('Range Analysis'!$F$5-IF('Range Analysis'!H26&lt;=0,0,'Range Analysis'!G26*MAX(0,1.04-EXP(0.38*LN('Range Analysis'!H26)-0.54))))-$A$263)/('Range Analysis'!G26/2),0,1,TRUE())-NORMDIST((-('Range Analysis'!$F$5-IF('Range Analysis'!H26&lt;=0,0,'Range Analysis'!G26*MAX(0,1.04-EXP(0.38*LN('Range Analysis'!H26)-0.54))))-$A$263)/('Range Analysis'!G26/2),0,1,TRUE()))</f>
        <v>0.21963966626477729</v>
      </c>
      <c r="M263">
        <f>NORMDIST($A$263,0,'Range Analysis'!$F$7,FALSE())*(NORMDIST((('Range Analysis'!$F$5-IF('Range Analysis'!H27&lt;=0,0,'Range Analysis'!G27*MAX(0,1.04-EXP(0.38*LN('Range Analysis'!H27)-0.54))))-$A$263)/('Range Analysis'!G27/2),0,1,TRUE())-NORMDIST((-('Range Analysis'!$F$5-IF('Range Analysis'!H27&lt;=0,0,'Range Analysis'!G27*MAX(0,1.04-EXP(0.38*LN('Range Analysis'!H27)-0.54))))-$A$263)/('Range Analysis'!G27/2),0,1,TRUE()))</f>
        <v>0.2201380358576408</v>
      </c>
      <c r="N263">
        <f>NORMDIST($A$263,0,'Range Analysis'!$F$7,FALSE())*(NORMDIST((('Range Analysis'!$F$5-IF('Range Analysis'!H28&lt;=0,0,'Range Analysis'!G28*MAX(0,1.04-EXP(0.38*LN('Range Analysis'!H28)-0.54))))-$A$263)/('Range Analysis'!G28/2),0,1,TRUE())-NORMDIST((-('Range Analysis'!$F$5-IF('Range Analysis'!H28&lt;=0,0,'Range Analysis'!G28*MAX(0,1.04-EXP(0.38*LN('Range Analysis'!H28)-0.54))))-$A$263)/('Range Analysis'!G28/2),0,1,TRUE()))</f>
        <v>0.22013846773407905</v>
      </c>
      <c r="O263">
        <f>NORMDIST($A$263,0,'Range Analysis'!$F$7,FALSE())*(NORMDIST((('Range Analysis'!$F$5-IF('Range Analysis'!H29&lt;=0,0,'Range Analysis'!G29*MAX(0,1.04-EXP(0.38*LN('Range Analysis'!H29)-0.54))))-$A$263)/('Range Analysis'!G29/2),0,1,TRUE())-NORMDIST((-('Range Analysis'!$F$5-IF('Range Analysis'!H29&lt;=0,0,'Range Analysis'!G29*MAX(0,1.04-EXP(0.38*LN('Range Analysis'!H29)-0.54))))-$A$263)/('Range Analysis'!G29/2),0,1,TRUE()))</f>
        <v>0.19817525065116776</v>
      </c>
      <c r="P263">
        <f>NORMDIST($A$263,0,'Range Analysis'!$F$7,FALSE())*(NORMDIST((('Range Analysis'!$F$5-IF('Range Analysis'!H30&lt;=0,0,'Range Analysis'!G30*MAX(0,1.04-EXP(0.38*LN('Range Analysis'!H30)-0.54))))-$A$263)/('Range Analysis'!G30/2),0,1,TRUE())-NORMDIST((-('Range Analysis'!$F$5-IF('Range Analysis'!H30&lt;=0,0,'Range Analysis'!G30*MAX(0,1.04-EXP(0.38*LN('Range Analysis'!H30)-0.54))))-$A$263)/('Range Analysis'!G30/2),0,1,TRUE()))</f>
        <v>0.1780569812290094</v>
      </c>
      <c r="Q263">
        <f>NORMDIST($A$263,0,'Range Analysis'!$F$7,FALSE())*(NORMDIST(('Range Analysis'!$F$5-$A$263)/('Range Analysis'!G24/2),0,1,TRUE())-NORMDIST((-'Range Analysis'!$F$5-$A$263)/('Range Analysis'!G24/2),0,1,TRUE()))</f>
        <v>0.21299829072806872</v>
      </c>
      <c r="R263">
        <f>NORMDIST($A$263,0,'Range Analysis'!$F$7,FALSE())*(NORMDIST(('Range Analysis'!$F$5-$A$263)/('Range Analysis'!G25/2),0,1,TRUE())-NORMDIST((-'Range Analysis'!$F$5-$A$263)/('Range Analysis'!G25/2),0,1,TRUE()))</f>
        <v>0.2195710920143471</v>
      </c>
      <c r="S263">
        <f>NORMDIST($A$263,0,'Range Analysis'!$F$7,FALSE())*(NORMDIST(('Range Analysis'!$F$5-$A$263)/('Range Analysis'!G26/2),0,1,TRUE())-NORMDIST((-'Range Analysis'!$F$5-$A$263)/('Range Analysis'!G26/2),0,1,TRUE()))</f>
        <v>0.21990825873930175</v>
      </c>
      <c r="T263">
        <f>NORMDIST($A$263,0,'Range Analysis'!$F$7,FALSE())*(NORMDIST(('Range Analysis'!$F$5-$A$263)/('Range Analysis'!G27/2),0,1,TRUE())-NORMDIST((-'Range Analysis'!$F$5-$A$263)/('Range Analysis'!G27/2),0,1,TRUE()))</f>
        <v>0.2201380358576408</v>
      </c>
      <c r="U263">
        <f>NORMDIST($A$263,0,'Range Analysis'!$F$7,FALSE())*(NORMDIST(('Range Analysis'!$F$5-$A$263)/('Range Analysis'!G28/2),0,1,TRUE())-NORMDIST((-'Range Analysis'!$F$5-$A$263)/('Range Analysis'!G28/2),0,1,TRUE()))</f>
        <v>0.22013846773407905</v>
      </c>
      <c r="V263">
        <f>NORMDIST($A$263,0,'Range Analysis'!$F$7,FALSE())*(NORMDIST(('Range Analysis'!$F$5-$A$263)/('Range Analysis'!G29/2),0,1,TRUE())-NORMDIST((-'Range Analysis'!$F$5-$A$263)/('Range Analysis'!G29/2),0,1,TRUE()))</f>
        <v>0.21299829072806872</v>
      </c>
      <c r="W263">
        <f>NORMDIST($A$263,0,'Range Analysis'!$F$7,FALSE())*(NORMDIST((('Range Analysis'!$F$5-0)-$A$263)/('Range Analysis'!G30/2),0,1,TRUE())-NORMDIST((-('Range Analysis'!$F$5-0)-$A$263)/('Range Analysis'!G30/2),0,1,TRUE()))</f>
        <v>0.20649691635779571</v>
      </c>
    </row>
    <row r="264" spans="1:23" ht="15" customHeight="1" x14ac:dyDescent="0.25">
      <c r="A264">
        <f>-'Range Analysis'!$F$5+31*$B$232</f>
        <v>1.1794871794871793</v>
      </c>
      <c r="C264">
        <f>NORMDIST($A$264,0,'Range Analysis'!$F$7,FALSE())*(NORMDIST((('Range Analysis'!$F$5-0.98*'Range Analysis'!G24)-$A$264)/('Range Analysis'!G24/2),0,1,TRUE())-NORMDIST((-('Range Analysis'!$F$5-0.98*'Range Analysis'!G24)-$A$264)/('Range Analysis'!G24/2),0,1,TRUE()))</f>
        <v>7.6645035237730391E-2</v>
      </c>
      <c r="D264">
        <f>NORMDIST($A$264,0,'Range Analysis'!$F$7,FALSE())*(NORMDIST((('Range Analysis'!$F$5-0.98*'Range Analysis'!G25)-$A$264)/('Range Analysis'!G25/2),0,1,TRUE())-NORMDIST((-('Range Analysis'!$F$5-0.98*'Range Analysis'!G25)-$A$264)/('Range Analysis'!G25/2),0,1,TRUE()))</f>
        <v>0.14326352995540567</v>
      </c>
      <c r="E264">
        <f>NORMDIST($A$264,0,'Range Analysis'!$F$7,FALSE())*(NORMDIST((('Range Analysis'!$F$5-0.98*'Range Analysis'!G26)-$A$264)/('Range Analysis'!G26/2),0,1,TRUE())-NORMDIST((-('Range Analysis'!$F$5-0.98*'Range Analysis'!G26)-$A$264)/('Range Analysis'!G26/2),0,1,TRUE()))</f>
        <v>0.15965032237961377</v>
      </c>
      <c r="F264">
        <f>NORMDIST($A$264,0,'Range Analysis'!$F$7,FALSE())*(NORMDIST((('Range Analysis'!$F$5-0.98*'Range Analysis'!G27)-$A$264)/('Range Analysis'!G27/2),0,1,TRUE())-NORMDIST((-('Range Analysis'!$F$5-0.98*'Range Analysis'!G27)-$A$264)/('Range Analysis'!G27/2),0,1,TRUE()))</f>
        <v>0.2011724954105924</v>
      </c>
      <c r="G264">
        <f>NORMDIST($A$264,0,'Range Analysis'!$F$7,FALSE())*(NORMDIST((('Range Analysis'!$F$5-0.98*'Range Analysis'!G28)-$A$264)/('Range Analysis'!G28/2),0,1,TRUE())-NORMDIST((-('Range Analysis'!$F$5-0.98*'Range Analysis'!G28)-$A$264)/('Range Analysis'!G28/2),0,1,TRUE()))</f>
        <v>0.20445898095240989</v>
      </c>
      <c r="H264">
        <f>NORMDIST($A$264,0,'Range Analysis'!$F$7,FALSE())*(NORMDIST((('Range Analysis'!$F$5-0.98*'Range Analysis'!G29)-$A$264)/('Range Analysis'!G29/2),0,1,TRUE())-NORMDIST((-('Range Analysis'!$F$5-0.98*'Range Analysis'!G29)-$A$264)/('Range Analysis'!G29/2),0,1,TRUE()))</f>
        <v>7.6645035237730391E-2</v>
      </c>
      <c r="I264">
        <f>NORMDIST($A$264,0,'Range Analysis'!$F$7,FALSE())*(NORMDIST((('Range Analysis'!$F$5-0.98*'Range Analysis'!G30)-$A$264)/('Range Analysis'!G30/2),0,1,TRUE())-NORMDIST((-('Range Analysis'!$F$5-0.98*'Range Analysis'!G30)-$A$264)/('Range Analysis'!G30/2),0,1,TRUE()))</f>
        <v>5.6501192460845166E-2</v>
      </c>
      <c r="J264">
        <f>NORMDIST($A$264,0,'Range Analysis'!$F$7,FALSE())*(NORMDIST((('Range Analysis'!$F$5-IF('Range Analysis'!H24&lt;=0,0,'Range Analysis'!G24*MAX(0,1.04-EXP(0.38*LN('Range Analysis'!H24)-0.54))))-$A$264)/('Range Analysis'!G24/2),0,1,TRUE())-NORMDIST((-('Range Analysis'!$F$5-IF('Range Analysis'!H24&lt;=0,0,'Range Analysis'!G24*MAX(0,1.04-EXP(0.38*LN('Range Analysis'!H24)-0.54))))-$A$264)/('Range Analysis'!G24/2),0,1,TRUE()))</f>
        <v>0.17571695218467667</v>
      </c>
      <c r="K264">
        <f>NORMDIST($A$264,0,'Range Analysis'!$F$7,FALSE())*(NORMDIST((('Range Analysis'!$F$5-IF('Range Analysis'!H25&lt;=0,0,'Range Analysis'!G25*MAX(0,1.04-EXP(0.38*LN('Range Analysis'!H25)-0.54))))-$A$264)/('Range Analysis'!G25/2),0,1,TRUE())-NORMDIST((-('Range Analysis'!$F$5-IF('Range Analysis'!H25&lt;=0,0,'Range Analysis'!G25*MAX(0,1.04-EXP(0.38*LN('Range Analysis'!H25)-0.54))))-$A$264)/('Range Analysis'!G25/2),0,1,TRUE()))</f>
        <v>0.20148717207128336</v>
      </c>
      <c r="L264">
        <f>NORMDIST($A$264,0,'Range Analysis'!$F$7,FALSE())*(NORMDIST((('Range Analysis'!$F$5-IF('Range Analysis'!H26&lt;=0,0,'Range Analysis'!G26*MAX(0,1.04-EXP(0.38*LN('Range Analysis'!H26)-0.54))))-$A$264)/('Range Analysis'!G26/2),0,1,TRUE())-NORMDIST((-('Range Analysis'!$F$5-IF('Range Analysis'!H26&lt;=0,0,'Range Analysis'!G26*MAX(0,1.04-EXP(0.38*LN('Range Analysis'!H26)-0.54))))-$A$264)/('Range Analysis'!G26/2),0,1,TRUE()))</f>
        <v>0.20317742366511846</v>
      </c>
      <c r="M264">
        <f>NORMDIST($A$264,0,'Range Analysis'!$F$7,FALSE())*(NORMDIST((('Range Analysis'!$F$5-IF('Range Analysis'!H27&lt;=0,0,'Range Analysis'!G27*MAX(0,1.04-EXP(0.38*LN('Range Analysis'!H27)-0.54))))-$A$264)/('Range Analysis'!G27/2),0,1,TRUE())-NORMDIST((-('Range Analysis'!$F$5-IF('Range Analysis'!H27&lt;=0,0,'Range Analysis'!G27*MAX(0,1.04-EXP(0.38*LN('Range Analysis'!H27)-0.54))))-$A$264)/('Range Analysis'!G27/2),0,1,TRUE()))</f>
        <v>0.20445480389019138</v>
      </c>
      <c r="N264">
        <f>NORMDIST($A$264,0,'Range Analysis'!$F$7,FALSE())*(NORMDIST((('Range Analysis'!$F$5-IF('Range Analysis'!H28&lt;=0,0,'Range Analysis'!G28*MAX(0,1.04-EXP(0.38*LN('Range Analysis'!H28)-0.54))))-$A$264)/('Range Analysis'!G28/2),0,1,TRUE())-NORMDIST((-('Range Analysis'!$F$5-IF('Range Analysis'!H28&lt;=0,0,'Range Analysis'!G28*MAX(0,1.04-EXP(0.38*LN('Range Analysis'!H28)-0.54))))-$A$264)/('Range Analysis'!G28/2),0,1,TRUE()))</f>
        <v>0.20445898095240989</v>
      </c>
      <c r="O264">
        <f>NORMDIST($A$264,0,'Range Analysis'!$F$7,FALSE())*(NORMDIST((('Range Analysis'!$F$5-IF('Range Analysis'!H29&lt;=0,0,'Range Analysis'!G29*MAX(0,1.04-EXP(0.38*LN('Range Analysis'!H29)-0.54))))-$A$264)/('Range Analysis'!G29/2),0,1,TRUE())-NORMDIST((-('Range Analysis'!$F$5-IF('Range Analysis'!H29&lt;=0,0,'Range Analysis'!G29*MAX(0,1.04-EXP(0.38*LN('Range Analysis'!H29)-0.54))))-$A$264)/('Range Analysis'!G29/2),0,1,TRUE()))</f>
        <v>0.17571695218467667</v>
      </c>
      <c r="P264">
        <f>NORMDIST($A$264,0,'Range Analysis'!$F$7,FALSE())*(NORMDIST((('Range Analysis'!$F$5-IF('Range Analysis'!H30&lt;=0,0,'Range Analysis'!G30*MAX(0,1.04-EXP(0.38*LN('Range Analysis'!H30)-0.54))))-$A$264)/('Range Analysis'!G30/2),0,1,TRUE())-NORMDIST((-('Range Analysis'!$F$5-IF('Range Analysis'!H30&lt;=0,0,'Range Analysis'!G30*MAX(0,1.04-EXP(0.38*LN('Range Analysis'!H30)-0.54))))-$A$264)/('Range Analysis'!G30/2),0,1,TRUE()))</f>
        <v>0.15515965117721964</v>
      </c>
      <c r="Q264">
        <f>NORMDIST($A$264,0,'Range Analysis'!$F$7,FALSE())*(NORMDIST(('Range Analysis'!$F$5-$A$264)/('Range Analysis'!G24/2),0,1,TRUE())-NORMDIST((-'Range Analysis'!$F$5-$A$264)/('Range Analysis'!G24/2),0,1,TRUE()))</f>
        <v>0.19415505665009389</v>
      </c>
      <c r="R264">
        <f>NORMDIST($A$264,0,'Range Analysis'!$F$7,FALSE())*(NORMDIST(('Range Analysis'!$F$5-$A$264)/('Range Analysis'!G25/2),0,1,TRUE())-NORMDIST((-'Range Analysis'!$F$5-$A$264)/('Range Analysis'!G25/2),0,1,TRUE()))</f>
        <v>0.20313979188647896</v>
      </c>
      <c r="S264">
        <f>NORMDIST($A$264,0,'Range Analysis'!$F$7,FALSE())*(NORMDIST(('Range Analysis'!$F$5-$A$264)/('Range Analysis'!G26/2),0,1,TRUE())-NORMDIST((-'Range Analysis'!$F$5-$A$264)/('Range Analysis'!G26/2),0,1,TRUE()))</f>
        <v>0.20382135335617133</v>
      </c>
      <c r="T264">
        <f>NORMDIST($A$264,0,'Range Analysis'!$F$7,FALSE())*(NORMDIST(('Range Analysis'!$F$5-$A$264)/('Range Analysis'!G27/2),0,1,TRUE())-NORMDIST((-'Range Analysis'!$F$5-$A$264)/('Range Analysis'!G27/2),0,1,TRUE()))</f>
        <v>0.20445480389019138</v>
      </c>
      <c r="U264">
        <f>NORMDIST($A$264,0,'Range Analysis'!$F$7,FALSE())*(NORMDIST(('Range Analysis'!$F$5-$A$264)/('Range Analysis'!G28/2),0,1,TRUE())-NORMDIST((-'Range Analysis'!$F$5-$A$264)/('Range Analysis'!G28/2),0,1,TRUE()))</f>
        <v>0.20445898095240989</v>
      </c>
      <c r="V264">
        <f>NORMDIST($A$264,0,'Range Analysis'!$F$7,FALSE())*(NORMDIST(('Range Analysis'!$F$5-$A$264)/('Range Analysis'!G29/2),0,1,TRUE())-NORMDIST((-'Range Analysis'!$F$5-$A$264)/('Range Analysis'!G29/2),0,1,TRUE()))</f>
        <v>0.19415505665009389</v>
      </c>
      <c r="W264">
        <f>NORMDIST($A$264,0,'Range Analysis'!$F$7,FALSE())*(NORMDIST((('Range Analysis'!$F$5-0)-$A$264)/('Range Analysis'!G30/2),0,1,TRUE())-NORMDIST((-('Range Analysis'!$F$5-0)-$A$264)/('Range Analysis'!G30/2),0,1,TRUE()))</f>
        <v>0.18693050184345442</v>
      </c>
    </row>
    <row r="265" spans="1:23" ht="15" customHeight="1" x14ac:dyDescent="0.25">
      <c r="A265">
        <f>-'Range Analysis'!$F$5+32*$B$232</f>
        <v>1.2820512820512819</v>
      </c>
      <c r="C265">
        <f>NORMDIST($A$265,0,'Range Analysis'!$F$7,FALSE())*(NORMDIST((('Range Analysis'!$F$5-0.98*'Range Analysis'!G24)-$A$265)/('Range Analysis'!G24/2),0,1,TRUE())-NORMDIST((-('Range Analysis'!$F$5-0.98*'Range Analysis'!G24)-$A$265)/('Range Analysis'!G24/2),0,1,TRUE()))</f>
        <v>5.6606643793472119E-2</v>
      </c>
      <c r="D265">
        <f>NORMDIST($A$265,0,'Range Analysis'!$F$7,FALSE())*(NORMDIST((('Range Analysis'!$F$5-0.98*'Range Analysis'!G25)-$A$265)/('Range Analysis'!G25/2),0,1,TRUE())-NORMDIST((-('Range Analysis'!$F$5-0.98*'Range Analysis'!G25)-$A$265)/('Range Analysis'!G25/2),0,1,TRUE()))</f>
        <v>0.11041183084567827</v>
      </c>
      <c r="E265">
        <f>NORMDIST($A$265,0,'Range Analysis'!$F$7,FALSE())*(NORMDIST((('Range Analysis'!$F$5-0.98*'Range Analysis'!G26)-$A$265)/('Range Analysis'!G26/2),0,1,TRUE())-NORMDIST((-('Range Analysis'!$F$5-0.98*'Range Analysis'!G26)-$A$265)/('Range Analysis'!G26/2),0,1,TRUE()))</f>
        <v>0.12591690395386559</v>
      </c>
      <c r="F265">
        <f>NORMDIST($A$265,0,'Range Analysis'!$F$7,FALSE())*(NORMDIST((('Range Analysis'!$F$5-0.98*'Range Analysis'!G27)-$A$265)/('Range Analysis'!G27/2),0,1,TRUE())-NORMDIST((-('Range Analysis'!$F$5-0.98*'Range Analysis'!G27)-$A$265)/('Range Analysis'!G27/2),0,1,TRUE()))</f>
        <v>0.17889610409215428</v>
      </c>
      <c r="G265">
        <f>NORMDIST($A$265,0,'Range Analysis'!$F$7,FALSE())*(NORMDIST((('Range Analysis'!$F$5-0.98*'Range Analysis'!G28)-$A$265)/('Range Analysis'!G28/2),0,1,TRUE())-NORMDIST((-('Range Analysis'!$F$5-0.98*'Range Analysis'!G28)-$A$265)/('Range Analysis'!G28/2),0,1,TRUE()))</f>
        <v>0.18862497479824472</v>
      </c>
      <c r="H265">
        <f>NORMDIST($A$265,0,'Range Analysis'!$F$7,FALSE())*(NORMDIST((('Range Analysis'!$F$5-0.98*'Range Analysis'!G29)-$A$265)/('Range Analysis'!G29/2),0,1,TRUE())-NORMDIST((-('Range Analysis'!$F$5-0.98*'Range Analysis'!G29)-$A$265)/('Range Analysis'!G29/2),0,1,TRUE()))</f>
        <v>5.6606643793472119E-2</v>
      </c>
      <c r="I265">
        <f>NORMDIST($A$265,0,'Range Analysis'!$F$7,FALSE())*(NORMDIST((('Range Analysis'!$F$5-0.98*'Range Analysis'!G30)-$A$265)/('Range Analysis'!G30/2),0,1,TRUE())-NORMDIST((-('Range Analysis'!$F$5-0.98*'Range Analysis'!G30)-$A$265)/('Range Analysis'!G30/2),0,1,TRUE()))</f>
        <v>4.1946960114838103E-2</v>
      </c>
      <c r="J265">
        <f>NORMDIST($A$265,0,'Range Analysis'!$F$7,FALSE())*(NORMDIST((('Range Analysis'!$F$5-IF('Range Analysis'!H24&lt;=0,0,'Range Analysis'!G24*MAX(0,1.04-EXP(0.38*LN('Range Analysis'!H24)-0.54))))-$A$265)/('Range Analysis'!G24/2),0,1,TRUE())-NORMDIST((-('Range Analysis'!$F$5-IF('Range Analysis'!H24&lt;=0,0,'Range Analysis'!G24*MAX(0,1.04-EXP(0.38*LN('Range Analysis'!H24)-0.54))))-$A$265)/('Range Analysis'!G24/2),0,1,TRUE()))</f>
        <v>0.1525148525747452</v>
      </c>
      <c r="K265">
        <f>NORMDIST($A$265,0,'Range Analysis'!$F$7,FALSE())*(NORMDIST((('Range Analysis'!$F$5-IF('Range Analysis'!H25&lt;=0,0,'Range Analysis'!G25*MAX(0,1.04-EXP(0.38*LN('Range Analysis'!H25)-0.54))))-$A$265)/('Range Analysis'!G25/2),0,1,TRUE())-NORMDIST((-('Range Analysis'!$F$5-IF('Range Analysis'!H25&lt;=0,0,'Range Analysis'!G25*MAX(0,1.04-EXP(0.38*LN('Range Analysis'!H25)-0.54))))-$A$265)/('Range Analysis'!G25/2),0,1,TRUE()))</f>
        <v>0.18284898191068547</v>
      </c>
      <c r="L265">
        <f>NORMDIST($A$265,0,'Range Analysis'!$F$7,FALSE())*(NORMDIST((('Range Analysis'!$F$5-IF('Range Analysis'!H26&lt;=0,0,'Range Analysis'!G26*MAX(0,1.04-EXP(0.38*LN('Range Analysis'!H26)-0.54))))-$A$265)/('Range Analysis'!G26/2),0,1,TRUE())-NORMDIST((-('Range Analysis'!$F$5-IF('Range Analysis'!H26&lt;=0,0,'Range Analysis'!G26*MAX(0,1.04-EXP(0.38*LN('Range Analysis'!H26)-0.54))))-$A$265)/('Range Analysis'!G26/2),0,1,TRUE()))</f>
        <v>0.18568457099266222</v>
      </c>
      <c r="M265">
        <f>NORMDIST($A$265,0,'Range Analysis'!$F$7,FALSE())*(NORMDIST((('Range Analysis'!$F$5-IF('Range Analysis'!H27&lt;=0,0,'Range Analysis'!G27*MAX(0,1.04-EXP(0.38*LN('Range Analysis'!H27)-0.54))))-$A$265)/('Range Analysis'!G27/2),0,1,TRUE())-NORMDIST((-('Range Analysis'!$F$5-IF('Range Analysis'!H27&lt;=0,0,'Range Analysis'!G27*MAX(0,1.04-EXP(0.38*LN('Range Analysis'!H27)-0.54))))-$A$265)/('Range Analysis'!G27/2),0,1,TRUE()))</f>
        <v>0.18859375704489018</v>
      </c>
      <c r="N265">
        <f>NORMDIST($A$265,0,'Range Analysis'!$F$7,FALSE())*(NORMDIST((('Range Analysis'!$F$5-IF('Range Analysis'!H28&lt;=0,0,'Range Analysis'!G28*MAX(0,1.04-EXP(0.38*LN('Range Analysis'!H28)-0.54))))-$A$265)/('Range Analysis'!G28/2),0,1,TRUE())-NORMDIST((-('Range Analysis'!$F$5-IF('Range Analysis'!H28&lt;=0,0,'Range Analysis'!G28*MAX(0,1.04-EXP(0.38*LN('Range Analysis'!H28)-0.54))))-$A$265)/('Range Analysis'!G28/2),0,1,TRUE()))</f>
        <v>0.18862497479824472</v>
      </c>
      <c r="O265">
        <f>NORMDIST($A$265,0,'Range Analysis'!$F$7,FALSE())*(NORMDIST((('Range Analysis'!$F$5-IF('Range Analysis'!H29&lt;=0,0,'Range Analysis'!G29*MAX(0,1.04-EXP(0.38*LN('Range Analysis'!H29)-0.54))))-$A$265)/('Range Analysis'!G29/2),0,1,TRUE())-NORMDIST((-('Range Analysis'!$F$5-IF('Range Analysis'!H29&lt;=0,0,'Range Analysis'!G29*MAX(0,1.04-EXP(0.38*LN('Range Analysis'!H29)-0.54))))-$A$265)/('Range Analysis'!G29/2),0,1,TRUE()))</f>
        <v>0.1525148525747452</v>
      </c>
      <c r="P265">
        <f>NORMDIST($A$265,0,'Range Analysis'!$F$7,FALSE())*(NORMDIST((('Range Analysis'!$F$5-IF('Range Analysis'!H30&lt;=0,0,'Range Analysis'!G30*MAX(0,1.04-EXP(0.38*LN('Range Analysis'!H30)-0.54))))-$A$265)/('Range Analysis'!G30/2),0,1,TRUE())-NORMDIST((-('Range Analysis'!$F$5-IF('Range Analysis'!H30&lt;=0,0,'Range Analysis'!G30*MAX(0,1.04-EXP(0.38*LN('Range Analysis'!H30)-0.54))))-$A$265)/('Range Analysis'!G30/2),0,1,TRUE()))</f>
        <v>0.13251952828794378</v>
      </c>
      <c r="Q265">
        <f>NORMDIST($A$265,0,'Range Analysis'!$F$7,FALSE())*(NORMDIST(('Range Analysis'!$F$5-$A$265)/('Range Analysis'!G24/2),0,1,TRUE())-NORMDIST((-'Range Analysis'!$F$5-$A$265)/('Range Analysis'!G24/2),0,1,TRUE()))</f>
        <v>0.17438081569013669</v>
      </c>
      <c r="R265">
        <f>NORMDIST($A$265,0,'Range Analysis'!$F$7,FALSE())*(NORMDIST(('Range Analysis'!$F$5-$A$265)/('Range Analysis'!G25/2),0,1,TRUE())-NORMDIST((-'Range Analysis'!$F$5-$A$265)/('Range Analysis'!G25/2),0,1,TRUE()))</f>
        <v>0.1858347379225313</v>
      </c>
      <c r="S265">
        <f>NORMDIST($A$265,0,'Range Analysis'!$F$7,FALSE())*(NORMDIST(('Range Analysis'!$F$5-$A$265)/('Range Analysis'!G26/2),0,1,TRUE())-NORMDIST((-'Range Analysis'!$F$5-$A$265)/('Range Analysis'!G26/2),0,1,TRUE()))</f>
        <v>0.18704959352883854</v>
      </c>
      <c r="T265">
        <f>NORMDIST($A$265,0,'Range Analysis'!$F$7,FALSE())*(NORMDIST(('Range Analysis'!$F$5-$A$265)/('Range Analysis'!G27/2),0,1,TRUE())-NORMDIST((-'Range Analysis'!$F$5-$A$265)/('Range Analysis'!G27/2),0,1,TRUE()))</f>
        <v>0.18859375704489018</v>
      </c>
      <c r="U265">
        <f>NORMDIST($A$265,0,'Range Analysis'!$F$7,FALSE())*(NORMDIST(('Range Analysis'!$F$5-$A$265)/('Range Analysis'!G28/2),0,1,TRUE())-NORMDIST((-'Range Analysis'!$F$5-$A$265)/('Range Analysis'!G28/2),0,1,TRUE()))</f>
        <v>0.18862497479824472</v>
      </c>
      <c r="V265">
        <f>NORMDIST($A$265,0,'Range Analysis'!$F$7,FALSE())*(NORMDIST(('Range Analysis'!$F$5-$A$265)/('Range Analysis'!G29/2),0,1,TRUE())-NORMDIST((-'Range Analysis'!$F$5-$A$265)/('Range Analysis'!G29/2),0,1,TRUE()))</f>
        <v>0.17438081569013669</v>
      </c>
      <c r="W265">
        <f>NORMDIST($A$265,0,'Range Analysis'!$F$7,FALSE())*(NORMDIST((('Range Analysis'!$F$5-0)-$A$265)/('Range Analysis'!G30/2),0,1,TRUE())-NORMDIST((-('Range Analysis'!$F$5-0)-$A$265)/('Range Analysis'!G30/2),0,1,TRUE()))</f>
        <v>0.16679447483826657</v>
      </c>
    </row>
    <row r="266" spans="1:23" ht="15" customHeight="1" x14ac:dyDescent="0.25">
      <c r="A266">
        <f>-'Range Analysis'!$F$5+33*$B$232</f>
        <v>1.3846153846153846</v>
      </c>
      <c r="C266">
        <f>NORMDIST($A$266,0,'Range Analysis'!$F$7,FALSE())*(NORMDIST((('Range Analysis'!$F$5-0.98*'Range Analysis'!G24)-$A$266)/('Range Analysis'!G24/2),0,1,TRUE())-NORMDIST((-('Range Analysis'!$F$5-0.98*'Range Analysis'!G24)-$A$266)/('Range Analysis'!G24/2),0,1,TRUE()))</f>
        <v>4.0262379678550987E-2</v>
      </c>
      <c r="D266">
        <f>NORMDIST($A$266,0,'Range Analysis'!$F$7,FALSE())*(NORMDIST((('Range Analysis'!$F$5-0.98*'Range Analysis'!G25)-$A$266)/('Range Analysis'!G25/2),0,1,TRUE())-NORMDIST((-('Range Analysis'!$F$5-0.98*'Range Analysis'!G25)-$A$266)/('Range Analysis'!G25/2),0,1,TRUE()))</f>
        <v>7.987133098588832E-2</v>
      </c>
      <c r="E266">
        <f>NORMDIST($A$266,0,'Range Analysis'!$F$7,FALSE())*(NORMDIST((('Range Analysis'!$F$5-0.98*'Range Analysis'!G26)-$A$266)/('Range Analysis'!G26/2),0,1,TRUE())-NORMDIST((-('Range Analysis'!$F$5-0.98*'Range Analysis'!G26)-$A$266)/('Range Analysis'!G26/2),0,1,TRUE()))</f>
        <v>9.2712009441734106E-2</v>
      </c>
      <c r="F266">
        <f>NORMDIST($A$266,0,'Range Analysis'!$F$7,FALSE())*(NORMDIST((('Range Analysis'!$F$5-0.98*'Range Analysis'!G27)-$A$266)/('Range Analysis'!G27/2),0,1,TRUE())-NORMDIST((-('Range Analysis'!$F$5-0.98*'Range Analysis'!G27)-$A$266)/('Range Analysis'!G27/2),0,1,TRUE()))</f>
        <v>0.15003336995003247</v>
      </c>
      <c r="G266">
        <f>NORMDIST($A$266,0,'Range Analysis'!$F$7,FALSE())*(NORMDIST((('Range Analysis'!$F$5-0.98*'Range Analysis'!G28)-$A$266)/('Range Analysis'!G28/2),0,1,TRUE())-NORMDIST((-('Range Analysis'!$F$5-0.98*'Range Analysis'!G28)-$A$266)/('Range Analysis'!G28/2),0,1,TRUE()))</f>
        <v>0.17285221449185173</v>
      </c>
      <c r="H266">
        <f>NORMDIST($A$266,0,'Range Analysis'!$F$7,FALSE())*(NORMDIST((('Range Analysis'!$F$5-0.98*'Range Analysis'!G29)-$A$266)/('Range Analysis'!G29/2),0,1,TRUE())-NORMDIST((-('Range Analysis'!$F$5-0.98*'Range Analysis'!G29)-$A$266)/('Range Analysis'!G29/2),0,1,TRUE()))</f>
        <v>4.0262379678550987E-2</v>
      </c>
      <c r="I266">
        <f>NORMDIST($A$266,0,'Range Analysis'!$F$7,FALSE())*(NORMDIST((('Range Analysis'!$F$5-0.98*'Range Analysis'!G30)-$A$266)/('Range Analysis'!G30/2),0,1,TRUE())-NORMDIST((-('Range Analysis'!$F$5-0.98*'Range Analysis'!G30)-$A$266)/('Range Analysis'!G30/2),0,1,TRUE()))</f>
        <v>3.0239324287830514E-2</v>
      </c>
      <c r="J266">
        <f>NORMDIST($A$266,0,'Range Analysis'!$F$7,FALSE())*(NORMDIST((('Range Analysis'!$F$5-IF('Range Analysis'!H24&lt;=0,0,'Range Analysis'!G24*MAX(0,1.04-EXP(0.38*LN('Range Analysis'!H24)-0.54))))-$A$266)/('Range Analysis'!G24/2),0,1,TRUE())-NORMDIST((-('Range Analysis'!$F$5-IF('Range Analysis'!H24&lt;=0,0,'Range Analysis'!G24*MAX(0,1.04-EXP(0.38*LN('Range Analysis'!H24)-0.54))))-$A$266)/('Range Analysis'!G24/2),0,1,TRUE()))</f>
        <v>0.12925314162832577</v>
      </c>
      <c r="K266">
        <f>NORMDIST($A$266,0,'Range Analysis'!$F$7,FALSE())*(NORMDIST((('Range Analysis'!$F$5-IF('Range Analysis'!H25&lt;=0,0,'Range Analysis'!G25*MAX(0,1.04-EXP(0.38*LN('Range Analysis'!H25)-0.54))))-$A$266)/('Range Analysis'!G25/2),0,1,TRUE())-NORMDIST((-('Range Analysis'!$F$5-IF('Range Analysis'!H25&lt;=0,0,'Range Analysis'!G25*MAX(0,1.04-EXP(0.38*LN('Range Analysis'!H25)-0.54))))-$A$266)/('Range Analysis'!G25/2),0,1,TRUE()))</f>
        <v>0.16260735604378482</v>
      </c>
      <c r="L266">
        <f>NORMDIST($A$266,0,'Range Analysis'!$F$7,FALSE())*(NORMDIST((('Range Analysis'!$F$5-IF('Range Analysis'!H26&lt;=0,0,'Range Analysis'!G26*MAX(0,1.04-EXP(0.38*LN('Range Analysis'!H26)-0.54))))-$A$266)/('Range Analysis'!G26/2),0,1,TRUE())-NORMDIST((-('Range Analysis'!$F$5-IF('Range Analysis'!H26&lt;=0,0,'Range Analysis'!G26*MAX(0,1.04-EXP(0.38*LN('Range Analysis'!H26)-0.54))))-$A$266)/('Range Analysis'!G26/2),0,1,TRUE()))</f>
        <v>0.1668158919026512</v>
      </c>
      <c r="M266">
        <f>NORMDIST($A$266,0,'Range Analysis'!$F$7,FALSE())*(NORMDIST((('Range Analysis'!$F$5-IF('Range Analysis'!H27&lt;=0,0,'Range Analysis'!G27*MAX(0,1.04-EXP(0.38*LN('Range Analysis'!H27)-0.54))))-$A$266)/('Range Analysis'!G27/2),0,1,TRUE())-NORMDIST((-('Range Analysis'!$F$5-IF('Range Analysis'!H27&lt;=0,0,'Range Analysis'!G27*MAX(0,1.04-EXP(0.38*LN('Range Analysis'!H27)-0.54))))-$A$266)/('Range Analysis'!G27/2),0,1,TRUE()))</f>
        <v>0.17267145492287322</v>
      </c>
      <c r="N266">
        <f>NORMDIST($A$266,0,'Range Analysis'!$F$7,FALSE())*(NORMDIST((('Range Analysis'!$F$5-IF('Range Analysis'!H28&lt;=0,0,'Range Analysis'!G28*MAX(0,1.04-EXP(0.38*LN('Range Analysis'!H28)-0.54))))-$A$266)/('Range Analysis'!G28/2),0,1,TRUE())-NORMDIST((-('Range Analysis'!$F$5-IF('Range Analysis'!H28&lt;=0,0,'Range Analysis'!G28*MAX(0,1.04-EXP(0.38*LN('Range Analysis'!H28)-0.54))))-$A$266)/('Range Analysis'!G28/2),0,1,TRUE()))</f>
        <v>0.17285221449185173</v>
      </c>
      <c r="O266">
        <f>NORMDIST($A$266,0,'Range Analysis'!$F$7,FALSE())*(NORMDIST((('Range Analysis'!$F$5-IF('Range Analysis'!H29&lt;=0,0,'Range Analysis'!G29*MAX(0,1.04-EXP(0.38*LN('Range Analysis'!H29)-0.54))))-$A$266)/('Range Analysis'!G29/2),0,1,TRUE())-NORMDIST((-('Range Analysis'!$F$5-IF('Range Analysis'!H29&lt;=0,0,'Range Analysis'!G29*MAX(0,1.04-EXP(0.38*LN('Range Analysis'!H29)-0.54))))-$A$266)/('Range Analysis'!G29/2),0,1,TRUE()))</f>
        <v>0.12925314162832577</v>
      </c>
      <c r="P266">
        <f>NORMDIST($A$266,0,'Range Analysis'!$F$7,FALSE())*(NORMDIST((('Range Analysis'!$F$5-IF('Range Analysis'!H30&lt;=0,0,'Range Analysis'!G30*MAX(0,1.04-EXP(0.38*LN('Range Analysis'!H30)-0.54))))-$A$266)/('Range Analysis'!G30/2),0,1,TRUE())-NORMDIST((-('Range Analysis'!$F$5-IF('Range Analysis'!H30&lt;=0,0,'Range Analysis'!G30*MAX(0,1.04-EXP(0.38*LN('Range Analysis'!H30)-0.54))))-$A$266)/('Range Analysis'!G30/2),0,1,TRUE()))</f>
        <v>0.11077843785017627</v>
      </c>
      <c r="Q266">
        <f>NORMDIST($A$266,0,'Range Analysis'!$F$7,FALSE())*(NORMDIST(('Range Analysis'!$F$5-$A$266)/('Range Analysis'!G24/2),0,1,TRUE())-NORMDIST((-'Range Analysis'!$F$5-$A$266)/('Range Analysis'!G24/2),0,1,TRUE()))</f>
        <v>0.15397595870448275</v>
      </c>
      <c r="R266">
        <f>NORMDIST($A$266,0,'Range Analysis'!$F$7,FALSE())*(NORMDIST(('Range Analysis'!$F$5-$A$266)/('Range Analysis'!G25/2),0,1,TRUE())-NORMDIST((-'Range Analysis'!$F$5-$A$266)/('Range Analysis'!G25/2),0,1,TRUE()))</f>
        <v>0.16747571707177142</v>
      </c>
      <c r="S266">
        <f>NORMDIST($A$266,0,'Range Analysis'!$F$7,FALSE())*(NORMDIST(('Range Analysis'!$F$5-$A$266)/('Range Analysis'!G26/2),0,1,TRUE())-NORMDIST((-'Range Analysis'!$F$5-$A$266)/('Range Analysis'!G26/2),0,1,TRUE()))</f>
        <v>0.16937447224122515</v>
      </c>
      <c r="T266">
        <f>NORMDIST($A$266,0,'Range Analysis'!$F$7,FALSE())*(NORMDIST(('Range Analysis'!$F$5-$A$266)/('Range Analysis'!G27/2),0,1,TRUE())-NORMDIST((-'Range Analysis'!$F$5-$A$266)/('Range Analysis'!G27/2),0,1,TRUE()))</f>
        <v>0.17267145492287322</v>
      </c>
      <c r="U266">
        <f>NORMDIST($A$266,0,'Range Analysis'!$F$7,FALSE())*(NORMDIST(('Range Analysis'!$F$5-$A$266)/('Range Analysis'!G28/2),0,1,TRUE())-NORMDIST((-'Range Analysis'!$F$5-$A$266)/('Range Analysis'!G28/2),0,1,TRUE()))</f>
        <v>0.17285221449185173</v>
      </c>
      <c r="V266">
        <f>NORMDIST($A$266,0,'Range Analysis'!$F$7,FALSE())*(NORMDIST(('Range Analysis'!$F$5-$A$266)/('Range Analysis'!G29/2),0,1,TRUE())-NORMDIST((-'Range Analysis'!$F$5-$A$266)/('Range Analysis'!G29/2),0,1,TRUE()))</f>
        <v>0.15397595870448275</v>
      </c>
      <c r="W266">
        <f>NORMDIST($A$266,0,'Range Analysis'!$F$7,FALSE())*(NORMDIST((('Range Analysis'!$F$5-0)-$A$266)/('Range Analysis'!G30/2),0,1,TRUE())-NORMDIST((-('Range Analysis'!$F$5-0)-$A$266)/('Range Analysis'!G30/2),0,1,TRUE()))</f>
        <v>0.14648699371033821</v>
      </c>
    </row>
    <row r="267" spans="1:23" ht="15" customHeight="1" x14ac:dyDescent="0.25">
      <c r="A267">
        <f>-'Range Analysis'!$F$5+34*$B$232</f>
        <v>1.4871794871794872</v>
      </c>
      <c r="C267">
        <f>NORMDIST($A$267,0,'Range Analysis'!$F$7,FALSE())*(NORMDIST((('Range Analysis'!$F$5-0.98*'Range Analysis'!G24)-$A$267)/('Range Analysis'!G24/2),0,1,TRUE())-NORMDIST((-('Range Analysis'!$F$5-0.98*'Range Analysis'!G24)-$A$267)/('Range Analysis'!G24/2),0,1,TRUE()))</f>
        <v>2.7543439251784343E-2</v>
      </c>
      <c r="D267">
        <f>NORMDIST($A$267,0,'Range Analysis'!$F$7,FALSE())*(NORMDIST((('Range Analysis'!$F$5-0.98*'Range Analysis'!G25)-$A$267)/('Range Analysis'!G25/2),0,1,TRUE())-NORMDIST((-('Range Analysis'!$F$5-0.98*'Range Analysis'!G25)-$A$267)/('Range Analysis'!G25/2),0,1,TRUE()))</f>
        <v>5.3868083860112902E-2</v>
      </c>
      <c r="E267">
        <f>NORMDIST($A$267,0,'Range Analysis'!$F$7,FALSE())*(NORMDIST((('Range Analysis'!$F$5-0.98*'Range Analysis'!G26)-$A$267)/('Range Analysis'!G26/2),0,1,TRUE())-NORMDIST((-('Range Analysis'!$F$5-0.98*'Range Analysis'!G26)-$A$267)/('Range Analysis'!G26/2),0,1,TRUE()))</f>
        <v>6.3102322996766241E-2</v>
      </c>
      <c r="F267">
        <f>NORMDIST($A$267,0,'Range Analysis'!$F$7,FALSE())*(NORMDIST((('Range Analysis'!$F$5-0.98*'Range Analysis'!G27)-$A$267)/('Range Analysis'!G27/2),0,1,TRUE())-NORMDIST((-('Range Analysis'!$F$5-0.98*'Range Analysis'!G27)-$A$267)/('Range Analysis'!G27/2),0,1,TRUE()))</f>
        <v>0.11440234486899398</v>
      </c>
      <c r="G267">
        <f>NORMDIST($A$267,0,'Range Analysis'!$F$7,FALSE())*(NORMDIST((('Range Analysis'!$F$5-0.98*'Range Analysis'!G28)-$A$267)/('Range Analysis'!G28/2),0,1,TRUE())-NORMDIST((-('Range Analysis'!$F$5-0.98*'Range Analysis'!G28)-$A$267)/('Range Analysis'!G28/2),0,1,TRUE()))</f>
        <v>0.15733793691737982</v>
      </c>
      <c r="H267">
        <f>NORMDIST($A$267,0,'Range Analysis'!$F$7,FALSE())*(NORMDIST((('Range Analysis'!$F$5-0.98*'Range Analysis'!G29)-$A$267)/('Range Analysis'!G29/2),0,1,TRUE())-NORMDIST((-('Range Analysis'!$F$5-0.98*'Range Analysis'!G29)-$A$267)/('Range Analysis'!G29/2),0,1,TRUE()))</f>
        <v>2.7543439251784343E-2</v>
      </c>
      <c r="I267">
        <f>NORMDIST($A$267,0,'Range Analysis'!$F$7,FALSE())*(NORMDIST((('Range Analysis'!$F$5-0.98*'Range Analysis'!G30)-$A$267)/('Range Analysis'!G30/2),0,1,TRUE())-NORMDIST((-('Range Analysis'!$F$5-0.98*'Range Analysis'!G30)-$A$267)/('Range Analysis'!G30/2),0,1,TRUE()))</f>
        <v>2.1155093743624325E-2</v>
      </c>
      <c r="J267">
        <f>NORMDIST($A$267,0,'Range Analysis'!$F$7,FALSE())*(NORMDIST((('Range Analysis'!$F$5-IF('Range Analysis'!H24&lt;=0,0,'Range Analysis'!G24*MAX(0,1.04-EXP(0.38*LN('Range Analysis'!H24)-0.54))))-$A$267)/('Range Analysis'!G24/2),0,1,TRUE())-NORMDIST((-('Range Analysis'!$F$5-IF('Range Analysis'!H24&lt;=0,0,'Range Analysis'!G24*MAX(0,1.04-EXP(0.38*LN('Range Analysis'!H24)-0.54))))-$A$267)/('Range Analysis'!G24/2),0,1,TRUE()))</f>
        <v>0.10668849058901168</v>
      </c>
      <c r="K267">
        <f>NORMDIST($A$267,0,'Range Analysis'!$F$7,FALSE())*(NORMDIST((('Range Analysis'!$F$5-IF('Range Analysis'!H25&lt;=0,0,'Range Analysis'!G25*MAX(0,1.04-EXP(0.38*LN('Range Analysis'!H25)-0.54))))-$A$267)/('Range Analysis'!G25/2),0,1,TRUE())-NORMDIST((-('Range Analysis'!$F$5-IF('Range Analysis'!H25&lt;=0,0,'Range Analysis'!G25*MAX(0,1.04-EXP(0.38*LN('Range Analysis'!H25)-0.54))))-$A$267)/('Range Analysis'!G25/2),0,1,TRUE()))</f>
        <v>0.14071910883070626</v>
      </c>
      <c r="L267">
        <f>NORMDIST($A$267,0,'Range Analysis'!$F$7,FALSE())*(NORMDIST((('Range Analysis'!$F$5-IF('Range Analysis'!H26&lt;=0,0,'Range Analysis'!G26*MAX(0,1.04-EXP(0.38*LN('Range Analysis'!H26)-0.54))))-$A$267)/('Range Analysis'!G26/2),0,1,TRUE())-NORMDIST((-('Range Analysis'!$F$5-IF('Range Analysis'!H26&lt;=0,0,'Range Analysis'!G26*MAX(0,1.04-EXP(0.38*LN('Range Analysis'!H26)-0.54))))-$A$267)/('Range Analysis'!G26/2),0,1,TRUE()))</f>
        <v>0.14622361223155061</v>
      </c>
      <c r="M267">
        <f>NORMDIST($A$267,0,'Range Analysis'!$F$7,FALSE())*(NORMDIST((('Range Analysis'!$F$5-IF('Range Analysis'!H27&lt;=0,0,'Range Analysis'!G27*MAX(0,1.04-EXP(0.38*LN('Range Analysis'!H27)-0.54))))-$A$267)/('Range Analysis'!G27/2),0,1,TRUE())-NORMDIST((-('Range Analysis'!$F$5-IF('Range Analysis'!H27&lt;=0,0,'Range Analysis'!G27*MAX(0,1.04-EXP(0.38*LN('Range Analysis'!H27)-0.54))))-$A$267)/('Range Analysis'!G27/2),0,1,TRUE()))</f>
        <v>0.15652416172698985</v>
      </c>
      <c r="N267">
        <f>NORMDIST($A$267,0,'Range Analysis'!$F$7,FALSE())*(NORMDIST((('Range Analysis'!$F$5-IF('Range Analysis'!H28&lt;=0,0,'Range Analysis'!G28*MAX(0,1.04-EXP(0.38*LN('Range Analysis'!H28)-0.54))))-$A$267)/('Range Analysis'!G28/2),0,1,TRUE())-NORMDIST((-('Range Analysis'!$F$5-IF('Range Analysis'!H28&lt;=0,0,'Range Analysis'!G28*MAX(0,1.04-EXP(0.38*LN('Range Analysis'!H28)-0.54))))-$A$267)/('Range Analysis'!G28/2),0,1,TRUE()))</f>
        <v>0.15733793691737982</v>
      </c>
      <c r="O267">
        <f>NORMDIST($A$267,0,'Range Analysis'!$F$7,FALSE())*(NORMDIST((('Range Analysis'!$F$5-IF('Range Analysis'!H29&lt;=0,0,'Range Analysis'!G29*MAX(0,1.04-EXP(0.38*LN('Range Analysis'!H29)-0.54))))-$A$267)/('Range Analysis'!G29/2),0,1,TRUE())-NORMDIST((-('Range Analysis'!$F$5-IF('Range Analysis'!H29&lt;=0,0,'Range Analysis'!G29*MAX(0,1.04-EXP(0.38*LN('Range Analysis'!H29)-0.54))))-$A$267)/('Range Analysis'!G29/2),0,1,TRUE()))</f>
        <v>0.10668849058901168</v>
      </c>
      <c r="P267">
        <f>NORMDIST($A$267,0,'Range Analysis'!$F$7,FALSE())*(NORMDIST((('Range Analysis'!$F$5-IF('Range Analysis'!H30&lt;=0,0,'Range Analysis'!G30*MAX(0,1.04-EXP(0.38*LN('Range Analysis'!H30)-0.54))))-$A$267)/('Range Analysis'!G30/2),0,1,TRUE())-NORMDIST((-('Range Analysis'!$F$5-IF('Range Analysis'!H30&lt;=0,0,'Range Analysis'!G30*MAX(0,1.04-EXP(0.38*LN('Range Analysis'!H30)-0.54))))-$A$267)/('Range Analysis'!G30/2),0,1,TRUE()))</f>
        <v>9.0516663207971748E-2</v>
      </c>
      <c r="Q267">
        <f>NORMDIST($A$267,0,'Range Analysis'!$F$7,FALSE())*(NORMDIST(('Range Analysis'!$F$5-$A$267)/('Range Analysis'!G24/2),0,1,TRUE())-NORMDIST((-'Range Analysis'!$F$5-$A$267)/('Range Analysis'!G24/2),0,1,TRUE()))</f>
        <v>0.13333911673154253</v>
      </c>
      <c r="R267">
        <f>NORMDIST($A$267,0,'Range Analysis'!$F$7,FALSE())*(NORMDIST(('Range Analysis'!$F$5-$A$267)/('Range Analysis'!G25/2),0,1,TRUE())-NORMDIST((-'Range Analysis'!$F$5-$A$267)/('Range Analysis'!G25/2),0,1,TRUE()))</f>
        <v>0.1478831819973668</v>
      </c>
      <c r="S267">
        <f>NORMDIST($A$267,0,'Range Analysis'!$F$7,FALSE())*(NORMDIST(('Range Analysis'!$F$5-$A$267)/('Range Analysis'!G26/2),0,1,TRUE())-NORMDIST((-'Range Analysis'!$F$5-$A$267)/('Range Analysis'!G26/2),0,1,TRUE()))</f>
        <v>0.15046411271950297</v>
      </c>
      <c r="T267">
        <f>NORMDIST($A$267,0,'Range Analysis'!$F$7,FALSE())*(NORMDIST(('Range Analysis'!$F$5-$A$267)/('Range Analysis'!G27/2),0,1,TRUE())-NORMDIST((-'Range Analysis'!$F$5-$A$267)/('Range Analysis'!G27/2),0,1,TRUE()))</f>
        <v>0.15652416172698985</v>
      </c>
      <c r="U267">
        <f>NORMDIST($A$267,0,'Range Analysis'!$F$7,FALSE())*(NORMDIST(('Range Analysis'!$F$5-$A$267)/('Range Analysis'!G28/2),0,1,TRUE())-NORMDIST((-'Range Analysis'!$F$5-$A$267)/('Range Analysis'!G28/2),0,1,TRUE()))</f>
        <v>0.15733793691737982</v>
      </c>
      <c r="V267">
        <f>NORMDIST($A$267,0,'Range Analysis'!$F$7,FALSE())*(NORMDIST(('Range Analysis'!$F$5-$A$267)/('Range Analysis'!G29/2),0,1,TRUE())-NORMDIST((-'Range Analysis'!$F$5-$A$267)/('Range Analysis'!G29/2),0,1,TRUE()))</f>
        <v>0.13333911673154253</v>
      </c>
      <c r="W267">
        <f>NORMDIST($A$267,0,'Range Analysis'!$F$7,FALSE())*(NORMDIST((('Range Analysis'!$F$5-0)-$A$267)/('Range Analysis'!G30/2),0,1,TRUE())-NORMDIST((-('Range Analysis'!$F$5-0)-$A$267)/('Range Analysis'!G30/2),0,1,TRUE()))</f>
        <v>0.12644331266827122</v>
      </c>
    </row>
    <row r="268" spans="1:23" ht="15" customHeight="1" x14ac:dyDescent="0.25">
      <c r="A268">
        <f>-'Range Analysis'!$F$5+35*$B$232</f>
        <v>1.5897435897435894</v>
      </c>
      <c r="C268">
        <f>NORMDIST($A$268,0,'Range Analysis'!$F$7,FALSE())*(NORMDIST((('Range Analysis'!$F$5-0.98*'Range Analysis'!G24)-$A$268)/('Range Analysis'!G24/2),0,1,TRUE())-NORMDIST((-('Range Analysis'!$F$5-0.98*'Range Analysis'!G24)-$A$268)/('Range Analysis'!G24/2),0,1,TRUE()))</f>
        <v>1.8102235525274561E-2</v>
      </c>
      <c r="D268">
        <f>NORMDIST($A$268,0,'Range Analysis'!$F$7,FALSE())*(NORMDIST((('Range Analysis'!$F$5-0.98*'Range Analysis'!G25)-$A$268)/('Range Analysis'!G25/2),0,1,TRUE())-NORMDIST((-('Range Analysis'!$F$5-0.98*'Range Analysis'!G25)-$A$268)/('Range Analysis'!G25/2),0,1,TRUE()))</f>
        <v>3.3679304457943836E-2</v>
      </c>
      <c r="E268">
        <f>NORMDIST($A$268,0,'Range Analysis'!$F$7,FALSE())*(NORMDIST((('Range Analysis'!$F$5-0.98*'Range Analysis'!G26)-$A$268)/('Range Analysis'!G26/2),0,1,TRUE())-NORMDIST((-('Range Analysis'!$F$5-0.98*'Range Analysis'!G26)-$A$268)/('Range Analysis'!G26/2),0,1,TRUE()))</f>
        <v>3.9371863503901497E-2</v>
      </c>
      <c r="F268">
        <f>NORMDIST($A$268,0,'Range Analysis'!$F$7,FALSE())*(NORMDIST((('Range Analysis'!$F$5-0.98*'Range Analysis'!G27)-$A$268)/('Range Analysis'!G27/2),0,1,TRUE())-NORMDIST((-('Range Analysis'!$F$5-0.98*'Range Analysis'!G27)-$A$268)/('Range Analysis'!G27/2),0,1,TRUE()))</f>
        <v>7.6301970017752088E-2</v>
      </c>
      <c r="G268">
        <f>NORMDIST($A$268,0,'Range Analysis'!$F$7,FALSE())*(NORMDIST((('Range Analysis'!$F$5-0.98*'Range Analysis'!G28)-$A$268)/('Range Analysis'!G28/2),0,1,TRUE())-NORMDIST((-('Range Analysis'!$F$5-0.98*'Range Analysis'!G28)-$A$268)/('Range Analysis'!G28/2),0,1,TRUE()))</f>
        <v>0.14225734688609087</v>
      </c>
      <c r="H268">
        <f>NORMDIST($A$268,0,'Range Analysis'!$F$7,FALSE())*(NORMDIST((('Range Analysis'!$F$5-0.98*'Range Analysis'!G29)-$A$268)/('Range Analysis'!G29/2),0,1,TRUE())-NORMDIST((-('Range Analysis'!$F$5-0.98*'Range Analysis'!G29)-$A$268)/('Range Analysis'!G29/2),0,1,TRUE()))</f>
        <v>1.8102235525274561E-2</v>
      </c>
      <c r="I268">
        <f>NORMDIST($A$268,0,'Range Analysis'!$F$7,FALSE())*(NORMDIST((('Range Analysis'!$F$5-0.98*'Range Analysis'!G30)-$A$268)/('Range Analysis'!G30/2),0,1,TRUE())-NORMDIST((-('Range Analysis'!$F$5-0.98*'Range Analysis'!G30)-$A$268)/('Range Analysis'!G30/2),0,1,TRUE()))</f>
        <v>1.4354722975241558E-2</v>
      </c>
      <c r="J268">
        <f>NORMDIST($A$268,0,'Range Analysis'!$F$7,FALSE())*(NORMDIST((('Range Analysis'!$F$5-IF('Range Analysis'!H24&lt;=0,0,'Range Analysis'!G24*MAX(0,1.04-EXP(0.38*LN('Range Analysis'!H24)-0.54))))-$A$268)/('Range Analysis'!G24/2),0,1,TRUE())-NORMDIST((-('Range Analysis'!$F$5-IF('Range Analysis'!H24&lt;=0,0,'Range Analysis'!G24*MAX(0,1.04-EXP(0.38*LN('Range Analysis'!H24)-0.54))))-$A$268)/('Range Analysis'!G24/2),0,1,TRUE()))</f>
        <v>8.5567278905480243E-2</v>
      </c>
      <c r="K268">
        <f>NORMDIST($A$268,0,'Range Analysis'!$F$7,FALSE())*(NORMDIST((('Range Analysis'!$F$5-IF('Range Analysis'!H25&lt;=0,0,'Range Analysis'!G25*MAX(0,1.04-EXP(0.38*LN('Range Analysis'!H25)-0.54))))-$A$268)/('Range Analysis'!G25/2),0,1,TRUE())-NORMDIST((-('Range Analysis'!$F$5-IF('Range Analysis'!H25&lt;=0,0,'Range Analysis'!G25*MAX(0,1.04-EXP(0.38*LN('Range Analysis'!H25)-0.54))))-$A$268)/('Range Analysis'!G25/2),0,1,TRUE()))</f>
        <v>0.11753595380770995</v>
      </c>
      <c r="L268">
        <f>NORMDIST($A$268,0,'Range Analysis'!$F$7,FALSE())*(NORMDIST((('Range Analysis'!$F$5-IF('Range Analysis'!H26&lt;=0,0,'Range Analysis'!G26*MAX(0,1.04-EXP(0.38*LN('Range Analysis'!H26)-0.54))))-$A$268)/('Range Analysis'!G26/2),0,1,TRUE())-NORMDIST((-('Range Analysis'!$F$5-IF('Range Analysis'!H26&lt;=0,0,'Range Analysis'!G26*MAX(0,1.04-EXP(0.38*LN('Range Analysis'!H26)-0.54))))-$A$268)/('Range Analysis'!G26/2),0,1,TRUE()))</f>
        <v>0.12384714916978136</v>
      </c>
      <c r="M268">
        <f>NORMDIST($A$268,0,'Range Analysis'!$F$7,FALSE())*(NORMDIST((('Range Analysis'!$F$5-IF('Range Analysis'!H27&lt;=0,0,'Range Analysis'!G27*MAX(0,1.04-EXP(0.38*LN('Range Analysis'!H27)-0.54))))-$A$268)/('Range Analysis'!G27/2),0,1,TRUE())-NORMDIST((-('Range Analysis'!$F$5-IF('Range Analysis'!H27&lt;=0,0,'Range Analysis'!G27*MAX(0,1.04-EXP(0.38*LN('Range Analysis'!H27)-0.54))))-$A$268)/('Range Analysis'!G27/2),0,1,TRUE()))</f>
        <v>0.1393951655297096</v>
      </c>
      <c r="N268">
        <f>NORMDIST($A$268,0,'Range Analysis'!$F$7,FALSE())*(NORMDIST((('Range Analysis'!$F$5-IF('Range Analysis'!H28&lt;=0,0,'Range Analysis'!G28*MAX(0,1.04-EXP(0.38*LN('Range Analysis'!H28)-0.54))))-$A$268)/('Range Analysis'!G28/2),0,1,TRUE())-NORMDIST((-('Range Analysis'!$F$5-IF('Range Analysis'!H28&lt;=0,0,'Range Analysis'!G28*MAX(0,1.04-EXP(0.38*LN('Range Analysis'!H28)-0.54))))-$A$268)/('Range Analysis'!G28/2),0,1,TRUE()))</f>
        <v>0.14225734688609087</v>
      </c>
      <c r="O268">
        <f>NORMDIST($A$268,0,'Range Analysis'!$F$7,FALSE())*(NORMDIST((('Range Analysis'!$F$5-IF('Range Analysis'!H29&lt;=0,0,'Range Analysis'!G29*MAX(0,1.04-EXP(0.38*LN('Range Analysis'!H29)-0.54))))-$A$268)/('Range Analysis'!G29/2),0,1,TRUE())-NORMDIST((-('Range Analysis'!$F$5-IF('Range Analysis'!H29&lt;=0,0,'Range Analysis'!G29*MAX(0,1.04-EXP(0.38*LN('Range Analysis'!H29)-0.54))))-$A$268)/('Range Analysis'!G29/2),0,1,TRUE()))</f>
        <v>8.5567278905480243E-2</v>
      </c>
      <c r="P268">
        <f>NORMDIST($A$268,0,'Range Analysis'!$F$7,FALSE())*(NORMDIST((('Range Analysis'!$F$5-IF('Range Analysis'!H30&lt;=0,0,'Range Analysis'!G30*MAX(0,1.04-EXP(0.38*LN('Range Analysis'!H30)-0.54))))-$A$268)/('Range Analysis'!G30/2),0,1,TRUE())-NORMDIST((-('Range Analysis'!$F$5-IF('Range Analysis'!H30&lt;=0,0,'Range Analysis'!G30*MAX(0,1.04-EXP(0.38*LN('Range Analysis'!H30)-0.54))))-$A$268)/('Range Analysis'!G30/2),0,1,TRUE()))</f>
        <v>7.220386845728613E-2</v>
      </c>
      <c r="Q268">
        <f>NORMDIST($A$268,0,'Range Analysis'!$F$7,FALSE())*(NORMDIST(('Range Analysis'!$F$5-$A$268)/('Range Analysis'!G24/2),0,1,TRUE())-NORMDIST((-'Range Analysis'!$F$5-$A$268)/('Range Analysis'!G24/2),0,1,TRUE()))</f>
        <v>0.11295775174950685</v>
      </c>
      <c r="R268">
        <f>NORMDIST($A$268,0,'Range Analysis'!$F$7,FALSE())*(NORMDIST(('Range Analysis'!$F$5-$A$268)/('Range Analysis'!G25/2),0,1,TRUE())-NORMDIST((-'Range Analysis'!$F$5-$A$268)/('Range Analysis'!G25/2),0,1,TRUE()))</f>
        <v>0.12705048570167621</v>
      </c>
      <c r="S268">
        <f>NORMDIST($A$268,0,'Range Analysis'!$F$7,FALSE())*(NORMDIST(('Range Analysis'!$F$5-$A$268)/('Range Analysis'!G26/2),0,1,TRUE())-NORMDIST((-'Range Analysis'!$F$5-$A$268)/('Range Analysis'!G26/2),0,1,TRUE()))</f>
        <v>0.13006148623294317</v>
      </c>
      <c r="T268">
        <f>NORMDIST($A$268,0,'Range Analysis'!$F$7,FALSE())*(NORMDIST(('Range Analysis'!$F$5-$A$268)/('Range Analysis'!G27/2),0,1,TRUE())-NORMDIST((-'Range Analysis'!$F$5-$A$268)/('Range Analysis'!G27/2),0,1,TRUE()))</f>
        <v>0.1393951655297096</v>
      </c>
      <c r="U268">
        <f>NORMDIST($A$268,0,'Range Analysis'!$F$7,FALSE())*(NORMDIST(('Range Analysis'!$F$5-$A$268)/('Range Analysis'!G28/2),0,1,TRUE())-NORMDIST((-'Range Analysis'!$F$5-$A$268)/('Range Analysis'!G28/2),0,1,TRUE()))</f>
        <v>0.14225734688609087</v>
      </c>
      <c r="V268">
        <f>NORMDIST($A$268,0,'Range Analysis'!$F$7,FALSE())*(NORMDIST(('Range Analysis'!$F$5-$A$268)/('Range Analysis'!G29/2),0,1,TRUE())-NORMDIST((-'Range Analysis'!$F$5-$A$268)/('Range Analysis'!G29/2),0,1,TRUE()))</f>
        <v>0.11295775174950685</v>
      </c>
      <c r="W268">
        <f>NORMDIST($A$268,0,'Range Analysis'!$F$7,FALSE())*(NORMDIST((('Range Analysis'!$F$5-0)-$A$268)/('Range Analysis'!G30/2),0,1,TRUE())-NORMDIST((-('Range Analysis'!$F$5-0)-$A$268)/('Range Analysis'!G30/2),0,1,TRUE()))</f>
        <v>0.10711079871150225</v>
      </c>
    </row>
    <row r="269" spans="1:23" ht="15" customHeight="1" x14ac:dyDescent="0.25">
      <c r="A269">
        <f>-'Range Analysis'!$F$5+36*$B$232</f>
        <v>1.6923076923076921</v>
      </c>
      <c r="C269">
        <f>NORMDIST($A$269,0,'Range Analysis'!$F$7,FALSE())*(NORMDIST((('Range Analysis'!$F$5-0.98*'Range Analysis'!G24)-$A$269)/('Range Analysis'!G24/2),0,1,TRUE())-NORMDIST((-('Range Analysis'!$F$5-0.98*'Range Analysis'!G24)-$A$269)/('Range Analysis'!G24/2),0,1,TRUE()))</f>
        <v>1.1418612648853989E-2</v>
      </c>
      <c r="D269">
        <f>NORMDIST($A$269,0,'Range Analysis'!$F$7,FALSE())*(NORMDIST((('Range Analysis'!$F$5-0.98*'Range Analysis'!G25)-$A$269)/('Range Analysis'!G25/2),0,1,TRUE())-NORMDIST((-('Range Analysis'!$F$5-0.98*'Range Analysis'!G25)-$A$269)/('Range Analysis'!G25/2),0,1,TRUE()))</f>
        <v>1.9428535257509379E-2</v>
      </c>
      <c r="E269">
        <f>NORMDIST($A$269,0,'Range Analysis'!$F$7,FALSE())*(NORMDIST((('Range Analysis'!$F$5-0.98*'Range Analysis'!G26)-$A$269)/('Range Analysis'!G26/2),0,1,TRUE())-NORMDIST((-('Range Analysis'!$F$5-0.98*'Range Analysis'!G26)-$A$269)/('Range Analysis'!G26/2),0,1,TRUE()))</f>
        <v>2.2365781900550483E-2</v>
      </c>
      <c r="F269">
        <f>NORMDIST($A$269,0,'Range Analysis'!$F$7,FALSE())*(NORMDIST((('Range Analysis'!$F$5-0.98*'Range Analysis'!G27)-$A$269)/('Range Analysis'!G27/2),0,1,TRUE())-NORMDIST((-('Range Analysis'!$F$5-0.98*'Range Analysis'!G27)-$A$269)/('Range Analysis'!G27/2),0,1,TRUE()))</f>
        <v>4.3014737131324435E-2</v>
      </c>
      <c r="G269">
        <f>NORMDIST($A$269,0,'Range Analysis'!$F$7,FALSE())*(NORMDIST((('Range Analysis'!$F$5-0.98*'Range Analysis'!G28)-$A$269)/('Range Analysis'!G28/2),0,1,TRUE())-NORMDIST((-('Range Analysis'!$F$5-0.98*'Range Analysis'!G28)-$A$269)/('Range Analysis'!G28/2),0,1,TRUE()))</f>
        <v>0.12776111949935859</v>
      </c>
      <c r="H269">
        <f>NORMDIST($A$269,0,'Range Analysis'!$F$7,FALSE())*(NORMDIST((('Range Analysis'!$F$5-0.98*'Range Analysis'!G29)-$A$269)/('Range Analysis'!G29/2),0,1,TRUE())-NORMDIST((-('Range Analysis'!$F$5-0.98*'Range Analysis'!G29)-$A$269)/('Range Analysis'!G29/2),0,1,TRUE()))</f>
        <v>1.1418612648853989E-2</v>
      </c>
      <c r="I269">
        <f>NORMDIST($A$269,0,'Range Analysis'!$F$7,FALSE())*(NORMDIST((('Range Analysis'!$F$5-0.98*'Range Analysis'!G30)-$A$269)/('Range Analysis'!G30/2),0,1,TRUE())-NORMDIST((-('Range Analysis'!$F$5-0.98*'Range Analysis'!G30)-$A$269)/('Range Analysis'!G30/2),0,1,TRUE()))</f>
        <v>9.4427753918999296E-3</v>
      </c>
      <c r="J269">
        <f>NORMDIST($A$269,0,'Range Analysis'!$F$7,FALSE())*(NORMDIST((('Range Analysis'!$F$5-IF('Range Analysis'!H24&lt;=0,0,'Range Analysis'!G24*MAX(0,1.04-EXP(0.38*LN('Range Analysis'!H24)-0.54))))-$A$269)/('Range Analysis'!G24/2),0,1,TRUE())-NORMDIST((-('Range Analysis'!$F$5-IF('Range Analysis'!H24&lt;=0,0,'Range Analysis'!G24*MAX(0,1.04-EXP(0.38*LN('Range Analysis'!H24)-0.54))))-$A$269)/('Range Analysis'!G24/2),0,1,TRUE()))</f>
        <v>6.6534554626393211E-2</v>
      </c>
      <c r="K269">
        <f>NORMDIST($A$269,0,'Range Analysis'!$F$7,FALSE())*(NORMDIST((('Range Analysis'!$F$5-IF('Range Analysis'!H25&lt;=0,0,'Range Analysis'!G25*MAX(0,1.04-EXP(0.38*LN('Range Analysis'!H25)-0.54))))-$A$269)/('Range Analysis'!G25/2),0,1,TRUE())-NORMDIST((-('Range Analysis'!$F$5-IF('Range Analysis'!H25&lt;=0,0,'Range Analysis'!G25*MAX(0,1.04-EXP(0.38*LN('Range Analysis'!H25)-0.54))))-$A$269)/('Range Analysis'!G25/2),0,1,TRUE()))</f>
        <v>9.3926544466665152E-2</v>
      </c>
      <c r="L269">
        <f>NORMDIST($A$269,0,'Range Analysis'!$F$7,FALSE())*(NORMDIST((('Range Analysis'!$F$5-IF('Range Analysis'!H26&lt;=0,0,'Range Analysis'!G26*MAX(0,1.04-EXP(0.38*LN('Range Analysis'!H26)-0.54))))-$A$269)/('Range Analysis'!G26/2),0,1,TRUE())-NORMDIST((-('Range Analysis'!$F$5-IF('Range Analysis'!H26&lt;=0,0,'Range Analysis'!G26*MAX(0,1.04-EXP(0.38*LN('Range Analysis'!H26)-0.54))))-$A$269)/('Range Analysis'!G26/2),0,1,TRUE()))</f>
        <v>0.10022112557786041</v>
      </c>
      <c r="M269">
        <f>NORMDIST($A$269,0,'Range Analysis'!$F$7,FALSE())*(NORMDIST((('Range Analysis'!$F$5-IF('Range Analysis'!H27&lt;=0,0,'Range Analysis'!G27*MAX(0,1.04-EXP(0.38*LN('Range Analysis'!H27)-0.54))))-$A$269)/('Range Analysis'!G27/2),0,1,TRUE())-NORMDIST((-('Range Analysis'!$F$5-IF('Range Analysis'!H27&lt;=0,0,'Range Analysis'!G27*MAX(0,1.04-EXP(0.38*LN('Range Analysis'!H27)-0.54))))-$A$269)/('Range Analysis'!G27/2),0,1,TRUE()))</f>
        <v>0.11984403085995633</v>
      </c>
      <c r="N269">
        <f>NORMDIST($A$269,0,'Range Analysis'!$F$7,FALSE())*(NORMDIST((('Range Analysis'!$F$5-IF('Range Analysis'!H28&lt;=0,0,'Range Analysis'!G28*MAX(0,1.04-EXP(0.38*LN('Range Analysis'!H28)-0.54))))-$A$269)/('Range Analysis'!G28/2),0,1,TRUE())-NORMDIST((-('Range Analysis'!$F$5-IF('Range Analysis'!H28&lt;=0,0,'Range Analysis'!G28*MAX(0,1.04-EXP(0.38*LN('Range Analysis'!H28)-0.54))))-$A$269)/('Range Analysis'!G28/2),0,1,TRUE()))</f>
        <v>0.12776111949935859</v>
      </c>
      <c r="O269">
        <f>NORMDIST($A$269,0,'Range Analysis'!$F$7,FALSE())*(NORMDIST((('Range Analysis'!$F$5-IF('Range Analysis'!H29&lt;=0,0,'Range Analysis'!G29*MAX(0,1.04-EXP(0.38*LN('Range Analysis'!H29)-0.54))))-$A$269)/('Range Analysis'!G29/2),0,1,TRUE())-NORMDIST((-('Range Analysis'!$F$5-IF('Range Analysis'!H29&lt;=0,0,'Range Analysis'!G29*MAX(0,1.04-EXP(0.38*LN('Range Analysis'!H29)-0.54))))-$A$269)/('Range Analysis'!G29/2),0,1,TRUE()))</f>
        <v>6.6534554626393211E-2</v>
      </c>
      <c r="P269">
        <f>NORMDIST($A$269,0,'Range Analysis'!$F$7,FALSE())*(NORMDIST((('Range Analysis'!$F$5-IF('Range Analysis'!H30&lt;=0,0,'Range Analysis'!G30*MAX(0,1.04-EXP(0.38*LN('Range Analysis'!H30)-0.54))))-$A$269)/('Range Analysis'!G30/2),0,1,TRUE())-NORMDIST((-('Range Analysis'!$F$5-IF('Range Analysis'!H30&lt;=0,0,'Range Analysis'!G30*MAX(0,1.04-EXP(0.38*LN('Range Analysis'!H30)-0.54))))-$A$269)/('Range Analysis'!G30/2),0,1,TRUE()))</f>
        <v>5.6163275309942702E-2</v>
      </c>
      <c r="Q269">
        <f>NORMDIST($A$269,0,'Range Analysis'!$F$7,FALSE())*(NORMDIST(('Range Analysis'!$F$5-$A$269)/('Range Analysis'!G24/2),0,1,TRUE())-NORMDIST((-'Range Analysis'!$F$5-$A$269)/('Range Analysis'!G24/2),0,1,TRUE()))</f>
        <v>9.3374166338361195E-2</v>
      </c>
      <c r="R269">
        <f>NORMDIST($A$269,0,'Range Analysis'!$F$7,FALSE())*(NORMDIST(('Range Analysis'!$F$5-$A$269)/('Range Analysis'!G25/2),0,1,TRUE())-NORMDIST((-'Range Analysis'!$F$5-$A$269)/('Range Analysis'!G25/2),0,1,TRUE()))</f>
        <v>0.10533077923907173</v>
      </c>
      <c r="S269">
        <f>NORMDIST($A$269,0,'Range Analysis'!$F$7,FALSE())*(NORMDIST(('Range Analysis'!$F$5-$A$269)/('Range Analysis'!G26/2),0,1,TRUE())-NORMDIST((-'Range Analysis'!$F$5-$A$269)/('Range Analysis'!G26/2),0,1,TRUE()))</f>
        <v>0.10827366343092452</v>
      </c>
      <c r="T269">
        <f>NORMDIST($A$269,0,'Range Analysis'!$F$7,FALSE())*(NORMDIST(('Range Analysis'!$F$5-$A$269)/('Range Analysis'!G27/2),0,1,TRUE())-NORMDIST((-'Range Analysis'!$F$5-$A$269)/('Range Analysis'!G27/2),0,1,TRUE()))</f>
        <v>0.11984403085995633</v>
      </c>
      <c r="U269">
        <f>NORMDIST($A$269,0,'Range Analysis'!$F$7,FALSE())*(NORMDIST(('Range Analysis'!$F$5-$A$269)/('Range Analysis'!G28/2),0,1,TRUE())-NORMDIST((-'Range Analysis'!$F$5-$A$269)/('Range Analysis'!G28/2),0,1,TRUE()))</f>
        <v>0.12776111949935859</v>
      </c>
      <c r="V269">
        <f>NORMDIST($A$269,0,'Range Analysis'!$F$7,FALSE())*(NORMDIST(('Range Analysis'!$F$5-$A$269)/('Range Analysis'!G29/2),0,1,TRUE())-NORMDIST((-'Range Analysis'!$F$5-$A$269)/('Range Analysis'!G29/2),0,1,TRUE()))</f>
        <v>9.3374166338361195E-2</v>
      </c>
      <c r="W269">
        <f>NORMDIST($A$269,0,'Range Analysis'!$F$7,FALSE())*(NORMDIST((('Range Analysis'!$F$5-0)-$A$269)/('Range Analysis'!G30/2),0,1,TRUE())-NORMDIST((-('Range Analysis'!$F$5-0)-$A$269)/('Range Analysis'!G30/2),0,1,TRUE()))</f>
        <v>8.8916828019926869E-2</v>
      </c>
    </row>
    <row r="270" spans="1:23" ht="15" customHeight="1" x14ac:dyDescent="0.25">
      <c r="A270">
        <f>-'Range Analysis'!$F$5+37*$B$232</f>
        <v>1.7948717948717947</v>
      </c>
      <c r="C270">
        <f>NORMDIST($A$270,0,'Range Analysis'!$F$7,FALSE())*(NORMDIST((('Range Analysis'!$F$5-0.98*'Range Analysis'!G24)-$A$270)/('Range Analysis'!G24/2),0,1,TRUE())-NORMDIST((-('Range Analysis'!$F$5-0.98*'Range Analysis'!G24)-$A$270)/('Range Analysis'!G24/2),0,1,TRUE()))</f>
        <v>6.9069931841903584E-3</v>
      </c>
      <c r="D270">
        <f>NORMDIST($A$270,0,'Range Analysis'!$F$7,FALSE())*(NORMDIST((('Range Analysis'!$F$5-0.98*'Range Analysis'!G25)-$A$270)/('Range Analysis'!G25/2),0,1,TRUE())-NORMDIST((-('Range Analysis'!$F$5-0.98*'Range Analysis'!G25)-$A$270)/('Range Analysis'!G25/2),0,1,TRUE()))</f>
        <v>1.030132030640854E-2</v>
      </c>
      <c r="E270">
        <f>NORMDIST($A$270,0,'Range Analysis'!$F$7,FALSE())*(NORMDIST((('Range Analysis'!$F$5-0.98*'Range Analysis'!G26)-$A$270)/('Range Analysis'!G26/2),0,1,TRUE())-NORMDIST((-('Range Analysis'!$F$5-0.98*'Range Analysis'!G26)-$A$270)/('Range Analysis'!G26/2),0,1,TRUE()))</f>
        <v>1.15040102551759E-2</v>
      </c>
      <c r="F270">
        <f>NORMDIST($A$270,0,'Range Analysis'!$F$7,FALSE())*(NORMDIST((('Range Analysis'!$F$5-0.98*'Range Analysis'!G27)-$A$270)/('Range Analysis'!G27/2),0,1,TRUE())-NORMDIST((-('Range Analysis'!$F$5-0.98*'Range Analysis'!G27)-$A$270)/('Range Analysis'!G27/2),0,1,TRUE()))</f>
        <v>1.9952202303007614E-2</v>
      </c>
      <c r="G270">
        <f>NORMDIST($A$270,0,'Range Analysis'!$F$7,FALSE())*(NORMDIST((('Range Analysis'!$F$5-0.98*'Range Analysis'!G28)-$A$270)/('Range Analysis'!G28/2),0,1,TRUE())-NORMDIST((-('Range Analysis'!$F$5-0.98*'Range Analysis'!G28)-$A$270)/('Range Analysis'!G28/2),0,1,TRUE()))</f>
        <v>0.11397391399257049</v>
      </c>
      <c r="H270">
        <f>NORMDIST($A$270,0,'Range Analysis'!$F$7,FALSE())*(NORMDIST((('Range Analysis'!$F$5-0.98*'Range Analysis'!G29)-$A$270)/('Range Analysis'!G29/2),0,1,TRUE())-NORMDIST((-('Range Analysis'!$F$5-0.98*'Range Analysis'!G29)-$A$270)/('Range Analysis'!G29/2),0,1,TRUE()))</f>
        <v>6.9069931841903584E-3</v>
      </c>
      <c r="I270">
        <f>NORMDIST($A$270,0,'Range Analysis'!$F$7,FALSE())*(NORMDIST((('Range Analysis'!$F$5-0.98*'Range Analysis'!G30)-$A$270)/('Range Analysis'!G30/2),0,1,TRUE())-NORMDIST((-('Range Analysis'!$F$5-0.98*'Range Analysis'!G30)-$A$270)/('Range Analysis'!G30/2),0,1,TRUE()))</f>
        <v>6.0191953646937619E-3</v>
      </c>
      <c r="J270">
        <f>NORMDIST($A$270,0,'Range Analysis'!$F$7,FALSE())*(NORMDIST((('Range Analysis'!$F$5-IF('Range Analysis'!H24&lt;=0,0,'Range Analysis'!G24*MAX(0,1.04-EXP(0.38*LN('Range Analysis'!H24)-0.54))))-$A$270)/('Range Analysis'!G24/2),0,1,TRUE())-NORMDIST((-('Range Analysis'!$F$5-IF('Range Analysis'!H24&lt;=0,0,'Range Analysis'!G24*MAX(0,1.04-EXP(0.38*LN('Range Analysis'!H24)-0.54))))-$A$270)/('Range Analysis'!G24/2),0,1,TRUE()))</f>
        <v>5.0055707539979379E-2</v>
      </c>
      <c r="K270">
        <f>NORMDIST($A$270,0,'Range Analysis'!$F$7,FALSE())*(NORMDIST((('Range Analysis'!$F$5-IF('Range Analysis'!H25&lt;=0,0,'Range Analysis'!G25*MAX(0,1.04-EXP(0.38*LN('Range Analysis'!H25)-0.54))))-$A$270)/('Range Analysis'!G25/2),0,1,TRUE())-NORMDIST((-('Range Analysis'!$F$5-IF('Range Analysis'!H25&lt;=0,0,'Range Analysis'!G25*MAX(0,1.04-EXP(0.38*LN('Range Analysis'!H25)-0.54))))-$A$270)/('Range Analysis'!G25/2),0,1,TRUE()))</f>
        <v>7.1194580351309739E-2</v>
      </c>
      <c r="L270">
        <f>NORMDIST($A$270,0,'Range Analysis'!$F$7,FALSE())*(NORMDIST((('Range Analysis'!$F$5-IF('Range Analysis'!H26&lt;=0,0,'Range Analysis'!G26*MAX(0,1.04-EXP(0.38*LN('Range Analysis'!H26)-0.54))))-$A$270)/('Range Analysis'!G26/2),0,1,TRUE())-NORMDIST((-('Range Analysis'!$F$5-IF('Range Analysis'!H26&lt;=0,0,'Range Analysis'!G26*MAX(0,1.04-EXP(0.38*LN('Range Analysis'!H26)-0.54))))-$A$270)/('Range Analysis'!G26/2),0,1,TRUE()))</f>
        <v>7.6588776006679016E-2</v>
      </c>
      <c r="M270">
        <f>NORMDIST($A$270,0,'Range Analysis'!$F$7,FALSE())*(NORMDIST((('Range Analysis'!$F$5-IF('Range Analysis'!H27&lt;=0,0,'Range Analysis'!G27*MAX(0,1.04-EXP(0.38*LN('Range Analysis'!H27)-0.54))))-$A$270)/('Range Analysis'!G27/2),0,1,TRUE())-NORMDIST((-('Range Analysis'!$F$5-IF('Range Analysis'!H27&lt;=0,0,'Range Analysis'!G27*MAX(0,1.04-EXP(0.38*LN('Range Analysis'!H27)-0.54))))-$A$270)/('Range Analysis'!G27/2),0,1,TRUE()))</f>
        <v>9.6589426046776852E-2</v>
      </c>
      <c r="N270">
        <f>NORMDIST($A$270,0,'Range Analysis'!$F$7,FALSE())*(NORMDIST((('Range Analysis'!$F$5-IF('Range Analysis'!H28&lt;=0,0,'Range Analysis'!G28*MAX(0,1.04-EXP(0.38*LN('Range Analysis'!H28)-0.54))))-$A$270)/('Range Analysis'!G28/2),0,1,TRUE())-NORMDIST((-('Range Analysis'!$F$5-IF('Range Analysis'!H28&lt;=0,0,'Range Analysis'!G28*MAX(0,1.04-EXP(0.38*LN('Range Analysis'!H28)-0.54))))-$A$270)/('Range Analysis'!G28/2),0,1,TRUE()))</f>
        <v>0.11397391399257049</v>
      </c>
      <c r="O270">
        <f>NORMDIST($A$270,0,'Range Analysis'!$F$7,FALSE())*(NORMDIST((('Range Analysis'!$F$5-IF('Range Analysis'!H29&lt;=0,0,'Range Analysis'!G29*MAX(0,1.04-EXP(0.38*LN('Range Analysis'!H29)-0.54))))-$A$270)/('Range Analysis'!G29/2),0,1,TRUE())-NORMDIST((-('Range Analysis'!$F$5-IF('Range Analysis'!H29&lt;=0,0,'Range Analysis'!G29*MAX(0,1.04-EXP(0.38*LN('Range Analysis'!H29)-0.54))))-$A$270)/('Range Analysis'!G29/2),0,1,TRUE()))</f>
        <v>5.0055707539979379E-2</v>
      </c>
      <c r="P270">
        <f>NORMDIST($A$270,0,'Range Analysis'!$F$7,FALSE())*(NORMDIST((('Range Analysis'!$F$5-IF('Range Analysis'!H30&lt;=0,0,'Range Analysis'!G30*MAX(0,1.04-EXP(0.38*LN('Range Analysis'!H30)-0.54))))-$A$270)/('Range Analysis'!G30/2),0,1,TRUE())-NORMDIST((-('Range Analysis'!$F$5-IF('Range Analysis'!H30&lt;=0,0,'Range Analysis'!G30*MAX(0,1.04-EXP(0.38*LN('Range Analysis'!H30)-0.54))))-$A$270)/('Range Analysis'!G30/2),0,1,TRUE()))</f>
        <v>4.2554748720538577E-2</v>
      </c>
      <c r="Q270">
        <f>NORMDIST($A$270,0,'Range Analysis'!$F$7,FALSE())*(NORMDIST(('Range Analysis'!$F$5-$A$270)/('Range Analysis'!G24/2),0,1,TRUE())-NORMDIST((-'Range Analysis'!$F$5-$A$270)/('Range Analysis'!G24/2),0,1,TRUE()))</f>
        <v>7.5130586073338682E-2</v>
      </c>
      <c r="R270">
        <f>NORMDIST($A$270,0,'Range Analysis'!$F$7,FALSE())*(NORMDIST(('Range Analysis'!$F$5-$A$270)/('Range Analysis'!G25/2),0,1,TRUE())-NORMDIST((-'Range Analysis'!$F$5-$A$270)/('Range Analysis'!G25/2),0,1,TRUE()))</f>
        <v>8.3531224429455014E-2</v>
      </c>
      <c r="S270">
        <f>NORMDIST($A$270,0,'Range Analysis'!$F$7,FALSE())*(NORMDIST(('Range Analysis'!$F$5-$A$270)/('Range Analysis'!G26/2),0,1,TRUE())-NORMDIST((-'Range Analysis'!$F$5-$A$270)/('Range Analysis'!G26/2),0,1,TRUE()))</f>
        <v>8.5815159954900952E-2</v>
      </c>
      <c r="T270">
        <f>NORMDIST($A$270,0,'Range Analysis'!$F$7,FALSE())*(NORMDIST(('Range Analysis'!$F$5-$A$270)/('Range Analysis'!G27/2),0,1,TRUE())-NORMDIST((-'Range Analysis'!$F$5-$A$270)/('Range Analysis'!G27/2),0,1,TRUE()))</f>
        <v>9.6589426046776852E-2</v>
      </c>
      <c r="U270">
        <f>NORMDIST($A$270,0,'Range Analysis'!$F$7,FALSE())*(NORMDIST(('Range Analysis'!$F$5-$A$270)/('Range Analysis'!G28/2),0,1,TRUE())-NORMDIST((-'Range Analysis'!$F$5-$A$270)/('Range Analysis'!G28/2),0,1,TRUE()))</f>
        <v>0.11397391399257049</v>
      </c>
      <c r="V270">
        <f>NORMDIST($A$270,0,'Range Analysis'!$F$7,FALSE())*(NORMDIST(('Range Analysis'!$F$5-$A$270)/('Range Analysis'!G29/2),0,1,TRUE())-NORMDIST((-'Range Analysis'!$F$5-$A$270)/('Range Analysis'!G29/2),0,1,TRUE()))</f>
        <v>7.5130586073338682E-2</v>
      </c>
      <c r="W270">
        <f>NORMDIST($A$270,0,'Range Analysis'!$F$7,FALSE())*(NORMDIST((('Range Analysis'!$F$5-0)-$A$270)/('Range Analysis'!G30/2),0,1,TRUE())-NORMDIST((-('Range Analysis'!$F$5-0)-$A$270)/('Range Analysis'!G30/2),0,1,TRUE()))</f>
        <v>7.2234333393033631E-2</v>
      </c>
    </row>
    <row r="271" spans="1:23" ht="15" customHeight="1" x14ac:dyDescent="0.25">
      <c r="A271">
        <f>-'Range Analysis'!$F$5+38*$B$232</f>
        <v>1.8974358974358974</v>
      </c>
      <c r="C271">
        <f>NORMDIST($A$271,0,'Range Analysis'!$F$7,FALSE())*(NORMDIST((('Range Analysis'!$F$5-0.98*'Range Analysis'!G24)-$A$271)/('Range Analysis'!G24/2),0,1,TRUE())-NORMDIST((-('Range Analysis'!$F$5-0.98*'Range Analysis'!G24)-$A$271)/('Range Analysis'!G24/2),0,1,TRUE()))</f>
        <v>4.0034588954558654E-3</v>
      </c>
      <c r="D271">
        <f>NORMDIST($A$271,0,'Range Analysis'!$F$7,FALSE())*(NORMDIST((('Range Analysis'!$F$5-0.98*'Range Analysis'!G25)-$A$271)/('Range Analysis'!G25/2),0,1,TRUE())-NORMDIST((-('Range Analysis'!$F$5-0.98*'Range Analysis'!G25)-$A$271)/('Range Analysis'!G25/2),0,1,TRUE()))</f>
        <v>5.0045856393856943E-3</v>
      </c>
      <c r="E271">
        <f>NORMDIST($A$271,0,'Range Analysis'!$F$7,FALSE())*(NORMDIST((('Range Analysis'!$F$5-0.98*'Range Analysis'!G26)-$A$271)/('Range Analysis'!G26/2),0,1,TRUE())-NORMDIST((-('Range Analysis'!$F$5-0.98*'Range Analysis'!G26)-$A$271)/('Range Analysis'!G26/2),0,1,TRUE()))</f>
        <v>5.3343346872811968E-3</v>
      </c>
      <c r="F271">
        <f>NORMDIST($A$271,0,'Range Analysis'!$F$7,FALSE())*(NORMDIST((('Range Analysis'!$F$5-0.98*'Range Analysis'!G27)-$A$271)/('Range Analysis'!G27/2),0,1,TRUE())-NORMDIST((-('Range Analysis'!$F$5-0.98*'Range Analysis'!G27)-$A$271)/('Range Analysis'!G27/2),0,1,TRUE()))</f>
        <v>7.4658023727831669E-3</v>
      </c>
      <c r="G271">
        <f>NORMDIST($A$271,0,'Range Analysis'!$F$7,FALSE())*(NORMDIST((('Range Analysis'!$F$5-0.98*'Range Analysis'!G28)-$A$271)/('Range Analysis'!G28/2),0,1,TRUE())-NORMDIST((-('Range Analysis'!$F$5-0.98*'Range Analysis'!G28)-$A$271)/('Range Analysis'!G28/2),0,1,TRUE()))</f>
        <v>0.10091640516088989</v>
      </c>
      <c r="H271">
        <f>NORMDIST($A$271,0,'Range Analysis'!$F$7,FALSE())*(NORMDIST((('Range Analysis'!$F$5-0.98*'Range Analysis'!G29)-$A$271)/('Range Analysis'!G29/2),0,1,TRUE())-NORMDIST((-('Range Analysis'!$F$5-0.98*'Range Analysis'!G29)-$A$271)/('Range Analysis'!G29/2),0,1,TRUE()))</f>
        <v>4.0034588954558654E-3</v>
      </c>
      <c r="I271">
        <f>NORMDIST($A$271,0,'Range Analysis'!$F$7,FALSE())*(NORMDIST((('Range Analysis'!$F$5-0.98*'Range Analysis'!G30)-$A$271)/('Range Analysis'!G30/2),0,1,TRUE())-NORMDIST((-('Range Analysis'!$F$5-0.98*'Range Analysis'!G30)-$A$271)/('Range Analysis'!G30/2),0,1,TRUE()))</f>
        <v>3.7165457407088171E-3</v>
      </c>
      <c r="J271">
        <f>NORMDIST($A$271,0,'Range Analysis'!$F$7,FALSE())*(NORMDIST((('Range Analysis'!$F$5-IF('Range Analysis'!H24&lt;=0,0,'Range Analysis'!G24*MAX(0,1.04-EXP(0.38*LN('Range Analysis'!H24)-0.54))))-$A$271)/('Range Analysis'!G24/2),0,1,TRUE())-NORMDIST((-('Range Analysis'!$F$5-IF('Range Analysis'!H24&lt;=0,0,'Range Analysis'!G24*MAX(0,1.04-EXP(0.38*LN('Range Analysis'!H24)-0.54))))-$A$271)/('Range Analysis'!G24/2),0,1,TRUE()))</f>
        <v>3.6368988222775366E-2</v>
      </c>
      <c r="K271">
        <f>NORMDIST($A$271,0,'Range Analysis'!$F$7,FALSE())*(NORMDIST((('Range Analysis'!$F$5-IF('Range Analysis'!H25&lt;=0,0,'Range Analysis'!G25*MAX(0,1.04-EXP(0.38*LN('Range Analysis'!H25)-0.54))))-$A$271)/('Range Analysis'!G25/2),0,1,TRUE())-NORMDIST((-('Range Analysis'!$F$5-IF('Range Analysis'!H25&lt;=0,0,'Range Analysis'!G25*MAX(0,1.04-EXP(0.38*LN('Range Analysis'!H25)-0.54))))-$A$271)/('Range Analysis'!G25/2),0,1,TRUE()))</f>
        <v>5.0776307457432869E-2</v>
      </c>
      <c r="L271">
        <f>NORMDIST($A$271,0,'Range Analysis'!$F$7,FALSE())*(NORMDIST((('Range Analysis'!$F$5-IF('Range Analysis'!H26&lt;=0,0,'Range Analysis'!G26*MAX(0,1.04-EXP(0.38*LN('Range Analysis'!H26)-0.54))))-$A$271)/('Range Analysis'!G26/2),0,1,TRUE())-NORMDIST((-('Range Analysis'!$F$5-IF('Range Analysis'!H26&lt;=0,0,'Range Analysis'!G26*MAX(0,1.04-EXP(0.38*LN('Range Analysis'!H26)-0.54))))-$A$271)/('Range Analysis'!G26/2),0,1,TRUE()))</f>
        <v>5.4660428146816334E-2</v>
      </c>
      <c r="M271">
        <f>NORMDIST($A$271,0,'Range Analysis'!$F$7,FALSE())*(NORMDIST((('Range Analysis'!$F$5-IF('Range Analysis'!H27&lt;=0,0,'Range Analysis'!G27*MAX(0,1.04-EXP(0.38*LN('Range Analysis'!H27)-0.54))))-$A$271)/('Range Analysis'!G27/2),0,1,TRUE())-NORMDIST((-('Range Analysis'!$F$5-IF('Range Analysis'!H27&lt;=0,0,'Range Analysis'!G27*MAX(0,1.04-EXP(0.38*LN('Range Analysis'!H27)-0.54))))-$A$271)/('Range Analysis'!G27/2),0,1,TRUE()))</f>
        <v>7.0287843683923532E-2</v>
      </c>
      <c r="N271">
        <f>NORMDIST($A$271,0,'Range Analysis'!$F$7,FALSE())*(NORMDIST((('Range Analysis'!$F$5-IF('Range Analysis'!H28&lt;=0,0,'Range Analysis'!G28*MAX(0,1.04-EXP(0.38*LN('Range Analysis'!H28)-0.54))))-$A$271)/('Range Analysis'!G28/2),0,1,TRUE())-NORMDIST((-('Range Analysis'!$F$5-IF('Range Analysis'!H28&lt;=0,0,'Range Analysis'!G28*MAX(0,1.04-EXP(0.38*LN('Range Analysis'!H28)-0.54))))-$A$271)/('Range Analysis'!G28/2),0,1,TRUE()))</f>
        <v>0.1009938442242958</v>
      </c>
      <c r="O271">
        <f>NORMDIST($A$271,0,'Range Analysis'!$F$7,FALSE())*(NORMDIST((('Range Analysis'!$F$5-IF('Range Analysis'!H29&lt;=0,0,'Range Analysis'!G29*MAX(0,1.04-EXP(0.38*LN('Range Analysis'!H29)-0.54))))-$A$271)/('Range Analysis'!G29/2),0,1,TRUE())-NORMDIST((-('Range Analysis'!$F$5-IF('Range Analysis'!H29&lt;=0,0,'Range Analysis'!G29*MAX(0,1.04-EXP(0.38*LN('Range Analysis'!H29)-0.54))))-$A$271)/('Range Analysis'!G29/2),0,1,TRUE()))</f>
        <v>3.6368988222775366E-2</v>
      </c>
      <c r="P271">
        <f>NORMDIST($A$271,0,'Range Analysis'!$F$7,FALSE())*(NORMDIST((('Range Analysis'!$F$5-IF('Range Analysis'!H30&lt;=0,0,'Range Analysis'!G30*MAX(0,1.04-EXP(0.38*LN('Range Analysis'!H30)-0.54))))-$A$271)/('Range Analysis'!G30/2),0,1,TRUE())-NORMDIST((-('Range Analysis'!$F$5-IF('Range Analysis'!H30&lt;=0,0,'Range Analysis'!G30*MAX(0,1.04-EXP(0.38*LN('Range Analysis'!H30)-0.54))))-$A$271)/('Range Analysis'!G30/2),0,1,TRUE()))</f>
        <v>3.1378551083812239E-2</v>
      </c>
      <c r="Q271">
        <f>NORMDIST($A$271,0,'Range Analysis'!$F$7,FALSE())*(NORMDIST(('Range Analysis'!$F$5-$A$271)/('Range Analysis'!G24/2),0,1,TRUE())-NORMDIST((-'Range Analysis'!$F$5-$A$271)/('Range Analysis'!G24/2),0,1,TRUE()))</f>
        <v>5.8704096452156483E-2</v>
      </c>
      <c r="R271">
        <f>NORMDIST($A$271,0,'Range Analysis'!$F$7,FALSE())*(NORMDIST(('Range Analysis'!$F$5-$A$271)/('Range Analysis'!G25/2),0,1,TRUE())-NORMDIST((-'Range Analysis'!$F$5-$A$271)/('Range Analysis'!G25/2),0,1,TRUE()))</f>
        <v>6.2820582262790678E-2</v>
      </c>
      <c r="S271">
        <f>NORMDIST($A$271,0,'Range Analysis'!$F$7,FALSE())*(NORMDIST(('Range Analysis'!$F$5-$A$271)/('Range Analysis'!G26/2),0,1,TRUE())-NORMDIST((-'Range Analysis'!$F$5-$A$271)/('Range Analysis'!G26/2),0,1,TRUE()))</f>
        <v>6.400784027885259E-2</v>
      </c>
      <c r="T271">
        <f>NORMDIST($A$271,0,'Range Analysis'!$F$7,FALSE())*(NORMDIST(('Range Analysis'!$F$5-$A$271)/('Range Analysis'!G27/2),0,1,TRUE())-NORMDIST((-'Range Analysis'!$F$5-$A$271)/('Range Analysis'!G27/2),0,1,TRUE()))</f>
        <v>7.0287843683923532E-2</v>
      </c>
      <c r="U271">
        <f>NORMDIST($A$271,0,'Range Analysis'!$F$7,FALSE())*(NORMDIST(('Range Analysis'!$F$5-$A$271)/('Range Analysis'!G28/2),0,1,TRUE())-NORMDIST((-'Range Analysis'!$F$5-$A$271)/('Range Analysis'!G28/2),0,1,TRUE()))</f>
        <v>0.1009938442242958</v>
      </c>
      <c r="V271">
        <f>NORMDIST($A$271,0,'Range Analysis'!$F$7,FALSE())*(NORMDIST(('Range Analysis'!$F$5-$A$271)/('Range Analysis'!G29/2),0,1,TRUE())-NORMDIST((-'Range Analysis'!$F$5-$A$271)/('Range Analysis'!G29/2),0,1,TRUE()))</f>
        <v>5.8704096452156483E-2</v>
      </c>
      <c r="W271">
        <f>NORMDIST($A$271,0,'Range Analysis'!$F$7,FALSE())*(NORMDIST((('Range Analysis'!$F$5-0)-$A$271)/('Range Analysis'!G30/2),0,1,TRUE())-NORMDIST((-('Range Analysis'!$F$5-0)-$A$271)/('Range Analysis'!G30/2),0,1,TRUE()))</f>
        <v>5.7350836848881599E-2</v>
      </c>
    </row>
    <row r="272" spans="1:23" ht="15" customHeight="1" x14ac:dyDescent="0.25">
      <c r="A272">
        <f>-'Range Analysis'!$F$5+39*$B$232</f>
        <v>2</v>
      </c>
      <c r="C272">
        <f>NORMDIST($A$272,0,'Range Analysis'!$F$7,FALSE())*(NORMDIST((('Range Analysis'!$F$5-0.98*'Range Analysis'!G24)-$A$272)/('Range Analysis'!G24/2),0,1,TRUE())-NORMDIST((-('Range Analysis'!$F$5-0.98*'Range Analysis'!G24)-$A$272)/('Range Analysis'!G24/2),0,1,TRUE()))</f>
        <v>2.2221360767105333E-3</v>
      </c>
      <c r="D272">
        <f>NORMDIST($A$272,0,'Range Analysis'!$F$7,FALSE())*(NORMDIST((('Range Analysis'!$F$5-0.98*'Range Analysis'!G25)-$A$272)/('Range Analysis'!G25/2),0,1,TRUE())-NORMDIST((-('Range Analysis'!$F$5-0.98*'Range Analysis'!G25)-$A$272)/('Range Analysis'!G25/2),0,1,TRUE()))</f>
        <v>2.2221361452088597E-3</v>
      </c>
      <c r="E272">
        <f>NORMDIST($A$272,0,'Range Analysis'!$F$7,FALSE())*(NORMDIST((('Range Analysis'!$F$5-0.98*'Range Analysis'!G26)-$A$272)/('Range Analysis'!G26/2),0,1,TRUE())-NORMDIST((-('Range Analysis'!$F$5-0.98*'Range Analysis'!G26)-$A$272)/('Range Analysis'!G26/2),0,1,TRUE()))</f>
        <v>2.2221361452088571E-3</v>
      </c>
      <c r="F272">
        <f>NORMDIST($A$272,0,'Range Analysis'!$F$7,FALSE())*(NORMDIST((('Range Analysis'!$F$5-0.98*'Range Analysis'!G27)-$A$272)/('Range Analysis'!G27/2),0,1,TRUE())-NORMDIST((-('Range Analysis'!$F$5-0.98*'Range Analysis'!G27)-$A$272)/('Range Analysis'!G27/2),0,1,TRUE()))</f>
        <v>2.2221361452088614E-3</v>
      </c>
      <c r="G272">
        <f>NORMDIST($A$272,0,'Range Analysis'!$F$7,FALSE())*(NORMDIST((('Range Analysis'!$F$5-0.98*'Range Analysis'!G28)-$A$272)/('Range Analysis'!G28/2),0,1,TRUE())-NORMDIST((-('Range Analysis'!$F$5-0.98*'Range Analysis'!G28)-$A$272)/('Range Analysis'!G28/2),0,1,TRUE()))</f>
        <v>2.2221361452088844E-3</v>
      </c>
      <c r="H272">
        <f>NORMDIST($A$272,0,'Range Analysis'!$F$7,FALSE())*(NORMDIST((('Range Analysis'!$F$5-0.98*'Range Analysis'!G29)-$A$272)/('Range Analysis'!G29/2),0,1,TRUE())-NORMDIST((-('Range Analysis'!$F$5-0.98*'Range Analysis'!G29)-$A$272)/('Range Analysis'!G29/2),0,1,TRUE()))</f>
        <v>2.2221360767105333E-3</v>
      </c>
      <c r="I272">
        <f>NORMDIST($A$272,0,'Range Analysis'!$F$7,FALSE())*(NORMDIST((('Range Analysis'!$F$5-0.98*'Range Analysis'!G30)-$A$272)/('Range Analysis'!G30/2),0,1,TRUE())-NORMDIST((-('Range Analysis'!$F$5-0.98*'Range Analysis'!G30)-$A$272)/('Range Analysis'!G30/2),0,1,TRUE()))</f>
        <v>2.2220242289513873E-3</v>
      </c>
      <c r="J272">
        <f>NORMDIST($A$272,0,'Range Analysis'!$F$7,FALSE())*(NORMDIST((('Range Analysis'!$F$5-IF('Range Analysis'!H24&lt;=0,0,'Range Analysis'!G24*MAX(0,1.04-EXP(0.38*LN('Range Analysis'!H24)-0.54))))-$A$272)/('Range Analysis'!G24/2),0,1,TRUE())-NORMDIST((-('Range Analysis'!$F$5-IF('Range Analysis'!H24&lt;=0,0,'Range Analysis'!G24*MAX(0,1.04-EXP(0.38*LN('Range Analysis'!H24)-0.54))))-$A$272)/('Range Analysis'!G24/2),0,1,TRUE()))</f>
        <v>2.5478358588921717E-2</v>
      </c>
      <c r="K272">
        <f>NORMDIST($A$272,0,'Range Analysis'!$F$7,FALSE())*(NORMDIST((('Range Analysis'!$F$5-IF('Range Analysis'!H25&lt;=0,0,'Range Analysis'!G25*MAX(0,1.04-EXP(0.38*LN('Range Analysis'!H25)-0.54))))-$A$272)/('Range Analysis'!G25/2),0,1,TRUE())-NORMDIST((-('Range Analysis'!$F$5-IF('Range Analysis'!H25&lt;=0,0,'Range Analysis'!G25*MAX(0,1.04-EXP(0.38*LN('Range Analysis'!H25)-0.54))))-$A$272)/('Range Analysis'!G25/2),0,1,TRUE()))</f>
        <v>3.3833974892570146E-2</v>
      </c>
      <c r="L272">
        <f>NORMDIST($A$272,0,'Range Analysis'!$F$7,FALSE())*(NORMDIST((('Range Analysis'!$F$5-IF('Range Analysis'!H26&lt;=0,0,'Range Analysis'!G26*MAX(0,1.04-EXP(0.38*LN('Range Analysis'!H26)-0.54))))-$A$272)/('Range Analysis'!G26/2),0,1,TRUE())-NORMDIST((-('Range Analysis'!$F$5-IF('Range Analysis'!H26&lt;=0,0,'Range Analysis'!G26*MAX(0,1.04-EXP(0.38*LN('Range Analysis'!H26)-0.54))))-$A$272)/('Range Analysis'!G26/2),0,1,TRUE()))</f>
        <v>3.607285828104724E-2</v>
      </c>
      <c r="M272">
        <f>NORMDIST($A$272,0,'Range Analysis'!$F$7,FALSE())*(NORMDIST((('Range Analysis'!$F$5-IF('Range Analysis'!H27&lt;=0,0,'Range Analysis'!G27*MAX(0,1.04-EXP(0.38*LN('Range Analysis'!H27)-0.54))))-$A$272)/('Range Analysis'!G27/2),0,1,TRUE())-NORMDIST((-('Range Analysis'!$F$5-IF('Range Analysis'!H27&lt;=0,0,'Range Analysis'!G27*MAX(0,1.04-EXP(0.38*LN('Range Analysis'!H27)-0.54))))-$A$272)/('Range Analysis'!G27/2),0,1,TRUE()))</f>
        <v>4.4446465033018002E-2</v>
      </c>
      <c r="N272">
        <f>NORMDIST($A$272,0,'Range Analysis'!$F$7,FALSE())*(NORMDIST((('Range Analysis'!$F$5-IF('Range Analysis'!H28&lt;=0,0,'Range Analysis'!G28*MAX(0,1.04-EXP(0.38*LN('Range Analysis'!H28)-0.54))))-$A$272)/('Range Analysis'!G28/2),0,1,TRUE())-NORMDIST((-('Range Analysis'!$F$5-IF('Range Analysis'!H28&lt;=0,0,'Range Analysis'!G28*MAX(0,1.04-EXP(0.38*LN('Range Analysis'!H28)-0.54))))-$A$272)/('Range Analysis'!G28/2),0,1,TRUE()))</f>
        <v>4.4446465033018002E-2</v>
      </c>
      <c r="O272">
        <f>NORMDIST($A$272,0,'Range Analysis'!$F$7,FALSE())*(NORMDIST((('Range Analysis'!$F$5-IF('Range Analysis'!H29&lt;=0,0,'Range Analysis'!G29*MAX(0,1.04-EXP(0.38*LN('Range Analysis'!H29)-0.54))))-$A$272)/('Range Analysis'!G29/2),0,1,TRUE())-NORMDIST((-('Range Analysis'!$F$5-IF('Range Analysis'!H29&lt;=0,0,'Range Analysis'!G29*MAX(0,1.04-EXP(0.38*LN('Range Analysis'!H29)-0.54))))-$A$272)/('Range Analysis'!G29/2),0,1,TRUE()))</f>
        <v>2.5478358588921717E-2</v>
      </c>
      <c r="P272">
        <f>NORMDIST($A$272,0,'Range Analysis'!$F$7,FALSE())*(NORMDIST((('Range Analysis'!$F$5-IF('Range Analysis'!H30&lt;=0,0,'Range Analysis'!G30*MAX(0,1.04-EXP(0.38*LN('Range Analysis'!H30)-0.54))))-$A$272)/('Range Analysis'!G30/2),0,1,TRUE())-NORMDIST((-('Range Analysis'!$F$5-IF('Range Analysis'!H30&lt;=0,0,'Range Analysis'!G30*MAX(0,1.04-EXP(0.38*LN('Range Analysis'!H30)-0.54))))-$A$272)/('Range Analysis'!G30/2),0,1,TRUE()))</f>
        <v>2.2497441272914073E-2</v>
      </c>
      <c r="Q272">
        <f>NORMDIST($A$272,0,'Range Analysis'!$F$7,FALSE())*(NORMDIST(('Range Analysis'!$F$5-$A$272)/('Range Analysis'!G24/2),0,1,TRUE())-NORMDIST((-'Range Analysis'!$F$5-$A$272)/('Range Analysis'!G24/2),0,1,TRUE()))</f>
        <v>4.4446465033017947E-2</v>
      </c>
      <c r="R272">
        <f>NORMDIST($A$272,0,'Range Analysis'!$F$7,FALSE())*(NORMDIST(('Range Analysis'!$F$5-$A$272)/('Range Analysis'!G25/2),0,1,TRUE())-NORMDIST((-'Range Analysis'!$F$5-$A$272)/('Range Analysis'!G25/2),0,1,TRUE()))</f>
        <v>4.4446465033018002E-2</v>
      </c>
      <c r="S272">
        <f>NORMDIST($A$272,0,'Range Analysis'!$F$7,FALSE())*(NORMDIST(('Range Analysis'!$F$5-$A$272)/('Range Analysis'!G26/2),0,1,TRUE())-NORMDIST((-'Range Analysis'!$F$5-$A$272)/('Range Analysis'!G26/2),0,1,TRUE()))</f>
        <v>4.4446465033018002E-2</v>
      </c>
      <c r="T272">
        <f>NORMDIST($A$272,0,'Range Analysis'!$F$7,FALSE())*(NORMDIST(('Range Analysis'!$F$5-$A$272)/('Range Analysis'!G27/2),0,1,TRUE())-NORMDIST((-'Range Analysis'!$F$5-$A$272)/('Range Analysis'!G27/2),0,1,TRUE()))</f>
        <v>4.4446465033018002E-2</v>
      </c>
      <c r="U272">
        <f>NORMDIST($A$272,0,'Range Analysis'!$F$7,FALSE())*(NORMDIST(('Range Analysis'!$F$5-$A$272)/('Range Analysis'!G28/2),0,1,TRUE())-NORMDIST((-'Range Analysis'!$F$5-$A$272)/('Range Analysis'!G28/2),0,1,TRUE()))</f>
        <v>4.4446465033018002E-2</v>
      </c>
      <c r="V272">
        <f>NORMDIST($A$272,0,'Range Analysis'!$F$7,FALSE())*(NORMDIST(('Range Analysis'!$F$5-$A$272)/('Range Analysis'!G29/2),0,1,TRUE())-NORMDIST((-'Range Analysis'!$F$5-$A$272)/('Range Analysis'!G29/2),0,1,TRUE()))</f>
        <v>4.4446465033017947E-2</v>
      </c>
      <c r="W272">
        <f>NORMDIST($A$272,0,'Range Analysis'!$F$7,FALSE())*(NORMDIST((('Range Analysis'!$F$5-0)-$A$272)/('Range Analysis'!G30/2),0,1,TRUE())-NORMDIST((-('Range Analysis'!$F$5-0)-$A$272)/('Range Analysis'!G30/2),0,1,TRUE()))</f>
        <v>4.4446465031854933E-2</v>
      </c>
    </row>
    <row r="273" spans="1:23" ht="15" customHeight="1" x14ac:dyDescent="0.25">
      <c r="C273">
        <f t="shared" ref="C273:W273" si="189">$B$232*(C233/2+SUM(C234:C271)+C272/2)</f>
        <v>0.55018815734609205</v>
      </c>
      <c r="D273">
        <f t="shared" si="189"/>
        <v>0.70373848199213651</v>
      </c>
      <c r="E273">
        <f t="shared" si="189"/>
        <v>0.72698414164179603</v>
      </c>
      <c r="F273">
        <f t="shared" si="189"/>
        <v>0.79514612857702549</v>
      </c>
      <c r="G273">
        <f t="shared" si="189"/>
        <v>0.88089575225284089</v>
      </c>
      <c r="H273">
        <f t="shared" si="189"/>
        <v>0.55018815734609205</v>
      </c>
      <c r="I273">
        <f t="shared" si="189"/>
        <v>0.4465108818824487</v>
      </c>
      <c r="J273">
        <f t="shared" si="189"/>
        <v>0.78600292468746125</v>
      </c>
      <c r="K273">
        <f t="shared" si="189"/>
        <v>0.84528250754809331</v>
      </c>
      <c r="L273">
        <f t="shared" si="189"/>
        <v>0.85324791358150753</v>
      </c>
      <c r="M273">
        <f t="shared" si="189"/>
        <v>0.8729551259804984</v>
      </c>
      <c r="N273">
        <f t="shared" si="189"/>
        <v>0.88524233758767379</v>
      </c>
      <c r="O273">
        <f t="shared" si="189"/>
        <v>0.78600292468746125</v>
      </c>
      <c r="P273">
        <f t="shared" si="189"/>
        <v>0.74002465652595029</v>
      </c>
      <c r="Q273">
        <f t="shared" si="189"/>
        <v>0.83781544116607232</v>
      </c>
      <c r="R273">
        <f t="shared" si="189"/>
        <v>0.85937632402010222</v>
      </c>
      <c r="S273">
        <f t="shared" si="189"/>
        <v>0.86273464603927519</v>
      </c>
      <c r="T273">
        <f t="shared" si="189"/>
        <v>0.8729551259804984</v>
      </c>
      <c r="U273">
        <f t="shared" si="189"/>
        <v>0.88524233758767379</v>
      </c>
      <c r="V273">
        <f t="shared" si="189"/>
        <v>0.83781544116607232</v>
      </c>
      <c r="W273">
        <f t="shared" si="189"/>
        <v>0.8231780261863042</v>
      </c>
    </row>
    <row r="274" spans="1:23" ht="15" customHeight="1" x14ac:dyDescent="0.25">
      <c r="C274" s="128">
        <f>'Range Analysis'!$B$9-C273</f>
        <v>0.33981184265390796</v>
      </c>
      <c r="D274" s="128">
        <f>'Range Analysis'!$B$9-D273</f>
        <v>0.1862615180078635</v>
      </c>
      <c r="E274" s="128">
        <f>'Range Analysis'!$B$9-E273</f>
        <v>0.16301585835820398</v>
      </c>
      <c r="F274" s="128">
        <f>'Range Analysis'!$B$9-F273</f>
        <v>9.4853871422974523E-2</v>
      </c>
      <c r="G274" s="128">
        <f>'Range Analysis'!$B$9-G273</f>
        <v>9.1042477471591221E-3</v>
      </c>
      <c r="H274" s="128">
        <f>'Range Analysis'!$B$9-H273</f>
        <v>0.33981184265390796</v>
      </c>
      <c r="I274" s="128">
        <f>'Range Analysis'!$B$9-I273</f>
        <v>0.44348911811755132</v>
      </c>
      <c r="J274" s="128">
        <f>'Range Analysis'!$B$9-J273</f>
        <v>0.10399707531253877</v>
      </c>
      <c r="K274" s="128">
        <f>'Range Analysis'!$B$9-K273</f>
        <v>4.4717492451906704E-2</v>
      </c>
      <c r="L274" s="128">
        <f>'Range Analysis'!$B$9-L273</f>
        <v>3.675208641849248E-2</v>
      </c>
      <c r="M274" s="128">
        <f>'Range Analysis'!$B$9-M273</f>
        <v>1.704487401950161E-2</v>
      </c>
      <c r="N274" s="128">
        <f>'Range Analysis'!$B$9-N273</f>
        <v>4.7576624123262246E-3</v>
      </c>
      <c r="O274" s="128">
        <f>'Range Analysis'!$B$9-O273</f>
        <v>0.10399707531253877</v>
      </c>
      <c r="P274" s="128">
        <f>'Range Analysis'!$B$9-P273</f>
        <v>0.14997534347404973</v>
      </c>
      <c r="Q274" s="128">
        <f>'Range Analysis'!$B$9-Q273</f>
        <v>5.2184558833927697E-2</v>
      </c>
      <c r="R274" s="128">
        <f>'Range Analysis'!$B$9-R273</f>
        <v>3.0623675979897791E-2</v>
      </c>
      <c r="S274" s="128">
        <f>'Range Analysis'!$B$9-S273</f>
        <v>2.7265353960724825E-2</v>
      </c>
      <c r="T274" s="128">
        <f>'Range Analysis'!$B$9-T273</f>
        <v>1.704487401950161E-2</v>
      </c>
      <c r="U274" s="128">
        <f>'Range Analysis'!$B$9-U273</f>
        <v>4.7576624123262246E-3</v>
      </c>
      <c r="V274" s="128">
        <f>'Range Analysis'!$B$9-V273</f>
        <v>5.2184558833927697E-2</v>
      </c>
      <c r="W274" s="128">
        <f>'Range Analysis'!$B$9-W273</f>
        <v>6.6821973813695812E-2</v>
      </c>
    </row>
    <row r="275" spans="1:23" ht="15" customHeight="1" x14ac:dyDescent="0.25">
      <c r="A275" t="s">
        <v>537</v>
      </c>
      <c r="B275">
        <f>2*'Range Analysis'!F6/39</f>
        <v>2.564102564102564E-2</v>
      </c>
    </row>
    <row r="276" spans="1:23" ht="15" customHeight="1" x14ac:dyDescent="0.25">
      <c r="A276">
        <f>-'Range Analysis'!$F$6+0*$B$275</f>
        <v>-0.5</v>
      </c>
      <c r="C276">
        <f>NORMDIST($A$276,0,'Range Analysis'!$F$8,FALSE())*(NORMDIST((('Range Analysis'!$F$6-0.98*'Range Analysis'!J24)-$A$276)/('Range Analysis'!J24/2),0,1,TRUE())-NORMDIST((-('Range Analysis'!$F$6-0.98*'Range Analysis'!J24)-$A$276)/('Range Analysis'!J24/2),0,1,TRUE()))</f>
        <v>8.8880969158055771E-3</v>
      </c>
      <c r="D276">
        <f>NORMDIST($A$276,0,'Range Analysis'!$F$8,FALSE())*(NORMDIST((('Range Analysis'!$F$6-0.98*'Range Analysis'!J25)-$A$276)/('Range Analysis'!J25/2),0,1,TRUE())-NORMDIST((-('Range Analysis'!$F$6-0.98*'Range Analysis'!J25)-$A$276)/('Range Analysis'!J25/2),0,1,TRUE()))</f>
        <v>8.8885445808354179E-3</v>
      </c>
      <c r="E276">
        <f>NORMDIST($A$276,0,'Range Analysis'!$F$8,FALSE())*(NORMDIST((('Range Analysis'!$F$6-0.98*'Range Analysis'!J26)-$A$276)/('Range Analysis'!J26/2),0,1,TRUE())-NORMDIST((-('Range Analysis'!$F$6-0.98*'Range Analysis'!J26)-$A$276)/('Range Analysis'!J26/2),0,1,TRUE()))</f>
        <v>8.8885445808354179E-3</v>
      </c>
      <c r="F276">
        <f>NORMDIST($A$276,0,'Range Analysis'!$F$8,FALSE())*(NORMDIST((('Range Analysis'!$F$6-0.98*'Range Analysis'!J27)-$A$276)/('Range Analysis'!J27/2),0,1,TRUE())-NORMDIST((-('Range Analysis'!$F$6-0.98*'Range Analysis'!J27)-$A$276)/('Range Analysis'!J27/2),0,1,TRUE()))</f>
        <v>8.8885445808354561E-3</v>
      </c>
      <c r="G276">
        <f>NORMDIST($A$276,0,'Range Analysis'!$F$8,FALSE())*(NORMDIST((('Range Analysis'!$F$6-0.98*'Range Analysis'!J28)-$A$276)/('Range Analysis'!J28/2),0,1,TRUE())-NORMDIST((-('Range Analysis'!$F$6-0.98*'Range Analysis'!J28)-$A$276)/('Range Analysis'!J28/2),0,1,TRUE()))</f>
        <v>8.8885445808355359E-3</v>
      </c>
      <c r="H276">
        <f>NORMDIST($A$276,0,'Range Analysis'!$F$8,FALSE())*(NORMDIST((('Range Analysis'!$F$6-0.98*'Range Analysis'!J29)-$A$276)/('Range Analysis'!J29/2),0,1,TRUE())-NORMDIST((-('Range Analysis'!$F$6-0.98*'Range Analysis'!J29)-$A$276)/('Range Analysis'!J29/2),0,1,TRUE()))</f>
        <v>-2.1272603385371826E-2</v>
      </c>
      <c r="I276">
        <f>NORMDIST($A$276,0,'Range Analysis'!$F$8,FALSE())*(NORMDIST((('Range Analysis'!$F$6-0.98*'Range Analysis'!J30)-$A$276)/('Range Analysis'!J30/2),0,1,TRUE())-NORMDIST((-('Range Analysis'!$F$6-0.98*'Range Analysis'!J30)-$A$276)/('Range Analysis'!J30/2),0,1,TRUE()))</f>
        <v>-7.6408426252710007E-2</v>
      </c>
      <c r="J276">
        <f>NORMDIST($A$276,0,'Range Analysis'!$F$8,FALSE())*(NORMDIST((('Range Analysis'!$F$6-IF('Range Analysis'!K24&lt;=0,0,'Range Analysis'!J24*MAX(0,1.04-EXP(0.38*LN('Range Analysis'!K24)-0.54))))-$A$276)/('Range Analysis'!J24/2),0,1,TRUE())-NORMDIST((-('Range Analysis'!$F$6-IF('Range Analysis'!K24&lt;=0,0,'Range Analysis'!J24*MAX(0,1.04-EXP(0.38*LN('Range Analysis'!K24)-0.54))))-$A$276)/('Range Analysis'!J24/2),0,1,TRUE()))</f>
        <v>8.9989765091656293E-2</v>
      </c>
      <c r="K276">
        <f>NORMDIST($A$276,0,'Range Analysis'!$F$8,FALSE())*(NORMDIST((('Range Analysis'!$F$6-IF('Range Analysis'!K25&lt;=0,0,'Range Analysis'!J25*MAX(0,1.04-EXP(0.38*LN('Range Analysis'!K25)-0.54))))-$A$276)/('Range Analysis'!J25/2),0,1,TRUE())-NORMDIST((-('Range Analysis'!$F$6-IF('Range Analysis'!K25&lt;=0,0,'Range Analysis'!J25*MAX(0,1.04-EXP(0.38*LN('Range Analysis'!K25)-0.54))))-$A$276)/('Range Analysis'!J25/2),0,1,TRUE()))</f>
        <v>0.14429143312418896</v>
      </c>
      <c r="L276">
        <f>NORMDIST($A$276,0,'Range Analysis'!$F$8,FALSE())*(NORMDIST((('Range Analysis'!$F$6-IF('Range Analysis'!K26&lt;=0,0,'Range Analysis'!J26*MAX(0,1.04-EXP(0.38*LN('Range Analysis'!K26)-0.54))))-$A$276)/('Range Analysis'!J26/2),0,1,TRUE())-NORMDIST((-('Range Analysis'!$F$6-IF('Range Analysis'!K26&lt;=0,0,'Range Analysis'!J26*MAX(0,1.04-EXP(0.38*LN('Range Analysis'!K26)-0.54))))-$A$276)/('Range Analysis'!J26/2),0,1,TRUE()))</f>
        <v>0.14429143312418896</v>
      </c>
      <c r="M276">
        <f>NORMDIST($A$276,0,'Range Analysis'!$F$8,FALSE())*(NORMDIST((('Range Analysis'!$F$6-IF('Range Analysis'!K27&lt;=0,0,'Range Analysis'!J27*MAX(0,1.04-EXP(0.38*LN('Range Analysis'!K27)-0.54))))-$A$276)/('Range Analysis'!J27/2),0,1,TRUE())-NORMDIST((-('Range Analysis'!$F$6-IF('Range Analysis'!K27&lt;=0,0,'Range Analysis'!J27*MAX(0,1.04-EXP(0.38*LN('Range Analysis'!K27)-0.54))))-$A$276)/('Range Analysis'!J27/2),0,1,TRUE()))</f>
        <v>0.16274337635510264</v>
      </c>
      <c r="N276">
        <f>NORMDIST($A$276,0,'Range Analysis'!$F$8,FALSE())*(NORMDIST((('Range Analysis'!$F$6-IF('Range Analysis'!K28&lt;=0,0,'Range Analysis'!J28*MAX(0,1.04-EXP(0.38*LN('Range Analysis'!K28)-0.54))))-$A$276)/('Range Analysis'!J28/2),0,1,TRUE())-NORMDIST((-('Range Analysis'!$F$6-IF('Range Analysis'!K28&lt;=0,0,'Range Analysis'!J28*MAX(0,1.04-EXP(0.38*LN('Range Analysis'!K28)-0.54))))-$A$276)/('Range Analysis'!J28/2),0,1,TRUE()))</f>
        <v>0.17778586013207201</v>
      </c>
      <c r="O276">
        <f>NORMDIST($A$276,0,'Range Analysis'!$F$8,FALSE())*(NORMDIST((('Range Analysis'!$F$6-IF('Range Analysis'!K29&lt;=0,0,'Range Analysis'!J29*MAX(0,1.04-EXP(0.38*LN('Range Analysis'!K29)-0.54))))-$A$276)/('Range Analysis'!J29/2),0,1,TRUE())-NORMDIST((-('Range Analysis'!$F$6-IF('Range Analysis'!K29&lt;=0,0,'Range Analysis'!J29*MAX(0,1.04-EXP(0.38*LN('Range Analysis'!K29)-0.54))))-$A$276)/('Range Analysis'!J29/2),0,1,TRUE()))</f>
        <v>5.3638572657752931E-2</v>
      </c>
      <c r="P276">
        <f>NORMDIST($A$276,0,'Range Analysis'!$F$8,FALSE())*(NORMDIST((('Range Analysis'!$F$6-IF('Range Analysis'!K30&lt;=0,0,'Range Analysis'!J30*MAX(0,1.04-EXP(0.38*LN('Range Analysis'!K30)-0.54))))-$A$276)/('Range Analysis'!J30/2),0,1,TRUE())-NORMDIST((-('Range Analysis'!$F$6-IF('Range Analysis'!K30&lt;=0,0,'Range Analysis'!J30*MAX(0,1.04-EXP(0.38*LN('Range Analysis'!K30)-0.54))))-$A$276)/('Range Analysis'!J30/2),0,1,TRUE()))</f>
        <v>2.9677754556908856E-2</v>
      </c>
      <c r="Q276">
        <f>NORMDIST($A$276,0,'Range Analysis'!$F$8,FALSE())*(NORMDIST(('Range Analysis'!$F$6-$A$276)/('Range Analysis'!J24/2),0,1,TRUE())-NORMDIST((-'Range Analysis'!$F$6-$A$276)/('Range Analysis'!J24/2),0,1,TRUE()))</f>
        <v>0.1777858601274197</v>
      </c>
      <c r="R276">
        <f>NORMDIST($A$276,0,'Range Analysis'!$F$8,FALSE())*(NORMDIST(('Range Analysis'!$F$6-$A$276)/('Range Analysis'!J25/2),0,1,TRUE())-NORMDIST((-'Range Analysis'!$F$6-$A$276)/('Range Analysis'!J25/2),0,1,TRUE()))</f>
        <v>0.17778586013207201</v>
      </c>
      <c r="S276">
        <f>NORMDIST($A$276,0,'Range Analysis'!$F$8,FALSE())*(NORMDIST(('Range Analysis'!$F$6-$A$276)/('Range Analysis'!J26/2),0,1,TRUE())-NORMDIST((-'Range Analysis'!$F$6-$A$276)/('Range Analysis'!J26/2),0,1,TRUE()))</f>
        <v>0.17778586013207201</v>
      </c>
      <c r="T276">
        <f>NORMDIST($A$276,0,'Range Analysis'!$F$8,FALSE())*(NORMDIST(('Range Analysis'!$F$6-$A$276)/('Range Analysis'!J27/2),0,1,TRUE())-NORMDIST((-'Range Analysis'!$F$6-$A$276)/('Range Analysis'!J27/2),0,1,TRUE()))</f>
        <v>0.17778586013207201</v>
      </c>
      <c r="U276">
        <f>NORMDIST($A$276,0,'Range Analysis'!$F$8,FALSE())*(NORMDIST(('Range Analysis'!$F$6-$A$276)/('Range Analysis'!J28/2),0,1,TRUE())-NORMDIST((-'Range Analysis'!$F$6-$A$276)/('Range Analysis'!J28/2),0,1,TRUE()))</f>
        <v>0.17778586013207201</v>
      </c>
      <c r="V276">
        <f>NORMDIST($A$276,0,'Range Analysis'!$F$8,FALSE())*(NORMDIST(('Range Analysis'!$F$6-$A$276)/('Range Analysis'!J29/2),0,1,TRUE())-NORMDIST((-'Range Analysis'!$F$6-$A$276)/('Range Analysis'!J29/2),0,1,TRUE()))</f>
        <v>0.17763329841130013</v>
      </c>
      <c r="W276">
        <f>NORMDIST($A$276,0,'Range Analysis'!$F$8,FALSE())*(NORMDIST((('Range Analysis'!$F$6-0)-$A$276)/('Range Analysis'!J30/2),0,1,TRUE())-NORMDIST((-('Range Analysis'!$F$6-0)-$A$276)/('Range Analysis'!J30/2),0,1,TRUE()))</f>
        <v>0.17642388512438775</v>
      </c>
    </row>
    <row r="277" spans="1:23" ht="15" customHeight="1" x14ac:dyDescent="0.25">
      <c r="A277">
        <f>-'Range Analysis'!$F$6+1*$B$275</f>
        <v>-0.47435897435897434</v>
      </c>
      <c r="C277">
        <f>NORMDIST($A$277,0,'Range Analysis'!$F$8,FALSE())*(NORMDIST((('Range Analysis'!$F$6-0.98*'Range Analysis'!J24)-$A$277)/('Range Analysis'!J24/2),0,1,TRUE())-NORMDIST((-('Range Analysis'!$F$6-0.98*'Range Analysis'!J24)-$A$277)/('Range Analysis'!J24/2),0,1,TRUE()))</f>
        <v>1.486618296283526E-2</v>
      </c>
      <c r="D277">
        <f>NORMDIST($A$277,0,'Range Analysis'!$F$8,FALSE())*(NORMDIST((('Range Analysis'!$F$6-0.98*'Range Analysis'!J25)-$A$277)/('Range Analysis'!J25/2),0,1,TRUE())-NORMDIST((-('Range Analysis'!$F$6-0.98*'Range Analysis'!J25)-$A$277)/('Range Analysis'!J25/2),0,1,TRUE()))</f>
        <v>2.1337338749124791E-2</v>
      </c>
      <c r="E277">
        <f>NORMDIST($A$277,0,'Range Analysis'!$F$8,FALSE())*(NORMDIST((('Range Analysis'!$F$6-0.98*'Range Analysis'!J26)-$A$277)/('Range Analysis'!J26/2),0,1,TRUE())-NORMDIST((-('Range Analysis'!$F$6-0.98*'Range Analysis'!J26)-$A$277)/('Range Analysis'!J26/2),0,1,TRUE()))</f>
        <v>2.1337338749124791E-2</v>
      </c>
      <c r="F277">
        <f>NORMDIST($A$277,0,'Range Analysis'!$F$8,FALSE())*(NORMDIST((('Range Analysis'!$F$6-0.98*'Range Analysis'!J27)-$A$277)/('Range Analysis'!J27/2),0,1,TRUE())-NORMDIST((-('Range Analysis'!$F$6-0.98*'Range Analysis'!J27)-$A$277)/('Range Analysis'!J27/2),0,1,TRUE()))</f>
        <v>2.4481531787832193E-2</v>
      </c>
      <c r="G277">
        <f>NORMDIST($A$277,0,'Range Analysis'!$F$8,FALSE())*(NORMDIST((('Range Analysis'!$F$6-0.98*'Range Analysis'!J28)-$A$277)/('Range Analysis'!J28/2),0,1,TRUE())-NORMDIST((-('Range Analysis'!$F$6-0.98*'Range Analysis'!J28)-$A$277)/('Range Analysis'!J28/2),0,1,TRUE()))</f>
        <v>0.40366562064355954</v>
      </c>
      <c r="H277">
        <f>NORMDIST($A$277,0,'Range Analysis'!$F$8,FALSE())*(NORMDIST((('Range Analysis'!$F$6-0.98*'Range Analysis'!J29)-$A$277)/('Range Analysis'!J29/2),0,1,TRUE())-NORMDIST((-('Range Analysis'!$F$6-0.98*'Range Analysis'!J29)-$A$277)/('Range Analysis'!J29/2),0,1,TRUE()))</f>
        <v>-2.7659420045011044E-2</v>
      </c>
      <c r="I277">
        <f>NORMDIST($A$277,0,'Range Analysis'!$F$8,FALSE())*(NORMDIST((('Range Analysis'!$F$6-0.98*'Range Analysis'!J30)-$A$277)/('Range Analysis'!J30/2),0,1,TRUE())-NORMDIST((-('Range Analysis'!$F$6-0.98*'Range Analysis'!J30)-$A$277)/('Range Analysis'!J30/2),0,1,TRUE()))</f>
        <v>-9.3872464063298064E-2</v>
      </c>
      <c r="J277">
        <f>NORMDIST($A$277,0,'Range Analysis'!$F$8,FALSE())*(NORMDIST((('Range Analysis'!$F$6-IF('Range Analysis'!K24&lt;=0,0,'Range Analysis'!J24*MAX(0,1.04-EXP(0.38*LN('Range Analysis'!K24)-0.54))))-$A$277)/('Range Analysis'!J24/2),0,1,TRUE())-NORMDIST((-('Range Analysis'!$F$6-IF('Range Analysis'!K24&lt;=0,0,'Range Analysis'!J24*MAX(0,1.04-EXP(0.38*LN('Range Analysis'!K24)-0.54))))-$A$277)/('Range Analysis'!J24/2),0,1,TRUE()))</f>
        <v>0.12551420433524896</v>
      </c>
      <c r="K277">
        <f>NORMDIST($A$277,0,'Range Analysis'!$F$8,FALSE())*(NORMDIST((('Range Analysis'!$F$6-IF('Range Analysis'!K25&lt;=0,0,'Range Analysis'!J25*MAX(0,1.04-EXP(0.38*LN('Range Analysis'!K25)-0.54))))-$A$277)/('Range Analysis'!J25/2),0,1,TRUE())-NORMDIST((-('Range Analysis'!$F$6-IF('Range Analysis'!K25&lt;=0,0,'Range Analysis'!J25*MAX(0,1.04-EXP(0.38*LN('Range Analysis'!K25)-0.54))))-$A$277)/('Range Analysis'!J25/2),0,1,TRUE()))</f>
        <v>0.21864171258726534</v>
      </c>
      <c r="L277">
        <f>NORMDIST($A$277,0,'Range Analysis'!$F$8,FALSE())*(NORMDIST((('Range Analysis'!$F$6-IF('Range Analysis'!K26&lt;=0,0,'Range Analysis'!J26*MAX(0,1.04-EXP(0.38*LN('Range Analysis'!K26)-0.54))))-$A$277)/('Range Analysis'!J26/2),0,1,TRUE())-NORMDIST((-('Range Analysis'!$F$6-IF('Range Analysis'!K26&lt;=0,0,'Range Analysis'!J26*MAX(0,1.04-EXP(0.38*LN('Range Analysis'!K26)-0.54))))-$A$277)/('Range Analysis'!J26/2),0,1,TRUE()))</f>
        <v>0.21864171258726534</v>
      </c>
      <c r="M277">
        <f>NORMDIST($A$277,0,'Range Analysis'!$F$8,FALSE())*(NORMDIST((('Range Analysis'!$F$6-IF('Range Analysis'!K27&lt;=0,0,'Range Analysis'!J27*MAX(0,1.04-EXP(0.38*LN('Range Analysis'!K27)-0.54))))-$A$277)/('Range Analysis'!J27/2),0,1,TRUE())-NORMDIST((-('Range Analysis'!$F$6-IF('Range Analysis'!K27&lt;=0,0,'Range Analysis'!J27*MAX(0,1.04-EXP(0.38*LN('Range Analysis'!K27)-0.54))))-$A$277)/('Range Analysis'!J27/2),0,1,TRUE()))</f>
        <v>0.25023907594544614</v>
      </c>
      <c r="N277">
        <f>NORMDIST($A$277,0,'Range Analysis'!$F$8,FALSE())*(NORMDIST((('Range Analysis'!$F$6-IF('Range Analysis'!K28&lt;=0,0,'Range Analysis'!J28*MAX(0,1.04-EXP(0.38*LN('Range Analysis'!K28)-0.54))))-$A$277)/('Range Analysis'!J28/2),0,1,TRUE())-NORMDIST((-('Range Analysis'!$F$6-IF('Range Analysis'!K28&lt;=0,0,'Range Analysis'!J28*MAX(0,1.04-EXP(0.38*LN('Range Analysis'!K28)-0.54))))-$A$277)/('Range Analysis'!J28/2),0,1,TRUE()))</f>
        <v>0.40397537689718321</v>
      </c>
      <c r="O277">
        <f>NORMDIST($A$277,0,'Range Analysis'!$F$8,FALSE())*(NORMDIST((('Range Analysis'!$F$6-IF('Range Analysis'!K29&lt;=0,0,'Range Analysis'!J29*MAX(0,1.04-EXP(0.38*LN('Range Analysis'!K29)-0.54))))-$A$277)/('Range Analysis'!J29/2),0,1,TRUE())-NORMDIST((-('Range Analysis'!$F$6-IF('Range Analysis'!K29&lt;=0,0,'Range Analysis'!J29*MAX(0,1.04-EXP(0.38*LN('Range Analysis'!K29)-0.54))))-$A$277)/('Range Analysis'!J29/2),0,1,TRUE()))</f>
        <v>6.8730326431832911E-2</v>
      </c>
      <c r="P277">
        <f>NORMDIST($A$277,0,'Range Analysis'!$F$8,FALSE())*(NORMDIST((('Range Analysis'!$F$6-IF('Range Analysis'!K30&lt;=0,0,'Range Analysis'!J30*MAX(0,1.04-EXP(0.38*LN('Range Analysis'!K30)-0.54))))-$A$277)/('Range Analysis'!J30/2),0,1,TRUE())-NORMDIST((-('Range Analysis'!$F$6-IF('Range Analysis'!K30&lt;=0,0,'Range Analysis'!J30*MAX(0,1.04-EXP(0.38*LN('Range Analysis'!K30)-0.54))))-$A$277)/('Range Analysis'!J30/2),0,1,TRUE()))</f>
        <v>3.6781608745063102E-2</v>
      </c>
      <c r="Q277">
        <f>NORMDIST($A$277,0,'Range Analysis'!$F$8,FALSE())*(NORMDIST(('Range Analysis'!$F$6-$A$277)/('Range Analysis'!J24/2),0,1,TRUE())-NORMDIST((-'Range Analysis'!$F$6-$A$277)/('Range Analysis'!J24/2),0,1,TRUE()))</f>
        <v>0.2294033473955264</v>
      </c>
      <c r="R277">
        <f>NORMDIST($A$277,0,'Range Analysis'!$F$8,FALSE())*(NORMDIST(('Range Analysis'!$F$6-$A$277)/('Range Analysis'!J25/2),0,1,TRUE())-NORMDIST((-'Range Analysis'!$F$6-$A$277)/('Range Analysis'!J25/2),0,1,TRUE()))</f>
        <v>0.25603136111541036</v>
      </c>
      <c r="S277">
        <f>NORMDIST($A$277,0,'Range Analysis'!$F$8,FALSE())*(NORMDIST(('Range Analysis'!$F$6-$A$277)/('Range Analysis'!J26/2),0,1,TRUE())-NORMDIST((-'Range Analysis'!$F$6-$A$277)/('Range Analysis'!J26/2),0,1,TRUE()))</f>
        <v>0.25603136111541036</v>
      </c>
      <c r="T277">
        <f>NORMDIST($A$277,0,'Range Analysis'!$F$8,FALSE())*(NORMDIST(('Range Analysis'!$F$6-$A$277)/('Range Analysis'!J27/2),0,1,TRUE())-NORMDIST((-'Range Analysis'!$F$6-$A$277)/('Range Analysis'!J27/2),0,1,TRUE()))</f>
        <v>0.26629699903567944</v>
      </c>
      <c r="U277">
        <f>NORMDIST($A$277,0,'Range Analysis'!$F$8,FALSE())*(NORMDIST(('Range Analysis'!$F$6-$A$277)/('Range Analysis'!J28/2),0,1,TRUE())-NORMDIST((-'Range Analysis'!$F$6-$A$277)/('Range Analysis'!J28/2),0,1,TRUE()))</f>
        <v>0.40397537689718321</v>
      </c>
      <c r="V277">
        <f>NORMDIST($A$277,0,'Range Analysis'!$F$8,FALSE())*(NORMDIST(('Range Analysis'!$F$6-$A$277)/('Range Analysis'!J29/2),0,1,TRUE())-NORMDIST((-'Range Analysis'!$F$6-$A$277)/('Range Analysis'!J29/2),0,1,TRUE()))</f>
        <v>0.21551070922674342</v>
      </c>
      <c r="W277">
        <f>NORMDIST($A$277,0,'Range Analysis'!$F$8,FALSE())*(NORMDIST((('Range Analysis'!$F$6-0)-$A$277)/('Range Analysis'!J30/2),0,1,TRUE())-NORMDIST((-('Range Analysis'!$F$6-0)-$A$277)/('Range Analysis'!J30/2),0,1,TRUE()))</f>
        <v>0.2111064153887395</v>
      </c>
    </row>
    <row r="278" spans="1:23" ht="15" customHeight="1" x14ac:dyDescent="0.25">
      <c r="A278">
        <f>-'Range Analysis'!$F$6+2*$B$275</f>
        <v>-0.44871794871794873</v>
      </c>
      <c r="C278">
        <f>NORMDIST($A$278,0,'Range Analysis'!$F$8,FALSE())*(NORMDIST((('Range Analysis'!$F$6-0.98*'Range Analysis'!J24)-$A$278)/('Range Analysis'!J24/2),0,1,TRUE())-NORMDIST((-('Range Analysis'!$F$6-0.98*'Range Analysis'!J24)-$A$278)/('Range Analysis'!J24/2),0,1,TRUE()))</f>
        <v>2.4076781458775048E-2</v>
      </c>
      <c r="D278">
        <f>NORMDIST($A$278,0,'Range Analysis'!$F$8,FALSE())*(NORMDIST((('Range Analysis'!$F$6-0.98*'Range Analysis'!J25)-$A$278)/('Range Analysis'!J25/2),0,1,TRUE())-NORMDIST((-('Range Analysis'!$F$6-0.98*'Range Analysis'!J25)-$A$278)/('Range Analysis'!J25/2),0,1,TRUE()))</f>
        <v>4.6016041020703551E-2</v>
      </c>
      <c r="E278">
        <f>NORMDIST($A$278,0,'Range Analysis'!$F$8,FALSE())*(NORMDIST((('Range Analysis'!$F$6-0.98*'Range Analysis'!J26)-$A$278)/('Range Analysis'!J26/2),0,1,TRUE())-NORMDIST((-('Range Analysis'!$F$6-0.98*'Range Analysis'!J26)-$A$278)/('Range Analysis'!J26/2),0,1,TRUE()))</f>
        <v>4.6016041020703551E-2</v>
      </c>
      <c r="F278">
        <f>NORMDIST($A$278,0,'Range Analysis'!$F$8,FALSE())*(NORMDIST((('Range Analysis'!$F$6-0.98*'Range Analysis'!J27)-$A$278)/('Range Analysis'!J27/2),0,1,TRUE())-NORMDIST((-('Range Analysis'!$F$6-0.98*'Range Analysis'!J27)-$A$278)/('Range Analysis'!J27/2),0,1,TRUE()))</f>
        <v>5.8012725093240222E-2</v>
      </c>
      <c r="G278">
        <f>NORMDIST($A$278,0,'Range Analysis'!$F$8,FALSE())*(NORMDIST((('Range Analysis'!$F$6-0.98*'Range Analysis'!J28)-$A$278)/('Range Analysis'!J28/2),0,1,TRUE())-NORMDIST((-('Range Analysis'!$F$6-0.98*'Range Analysis'!J28)-$A$278)/('Range Analysis'!J28/2),0,1,TRUE()))</f>
        <v>0.45589565597028192</v>
      </c>
      <c r="H278">
        <f>NORMDIST($A$278,0,'Range Analysis'!$F$8,FALSE())*(NORMDIST((('Range Analysis'!$F$6-0.98*'Range Analysis'!J29)-$A$278)/('Range Analysis'!J29/2),0,1,TRUE())-NORMDIST((-('Range Analysis'!$F$6-0.98*'Range Analysis'!J29)-$A$278)/('Range Analysis'!J29/2),0,1,TRUE()))</f>
        <v>-3.5470062575435161E-2</v>
      </c>
      <c r="I278">
        <f>NORMDIST($A$278,0,'Range Analysis'!$F$8,FALSE())*(NORMDIST((('Range Analysis'!$F$6-0.98*'Range Analysis'!J30)-$A$278)/('Range Analysis'!J30/2),0,1,TRUE())-NORMDIST((-('Range Analysis'!$F$6-0.98*'Range Analysis'!J30)-$A$278)/('Range Analysis'!J30/2),0,1,TRUE()))</f>
        <v>-0.11408100630675357</v>
      </c>
      <c r="J278">
        <f>NORMDIST($A$278,0,'Range Analysis'!$F$8,FALSE())*(NORMDIST((('Range Analysis'!$F$6-IF('Range Analysis'!K24&lt;=0,0,'Range Analysis'!J24*MAX(0,1.04-EXP(0.38*LN('Range Analysis'!K24)-0.54))))-$A$278)/('Range Analysis'!J24/2),0,1,TRUE())-NORMDIST((-('Range Analysis'!$F$6-IF('Range Analysis'!K24&lt;=0,0,'Range Analysis'!J24*MAX(0,1.04-EXP(0.38*LN('Range Analysis'!K24)-0.54))))-$A$278)/('Range Analysis'!J24/2),0,1,TRUE()))</f>
        <v>0.17021899488215425</v>
      </c>
      <c r="K278">
        <f>NORMDIST($A$278,0,'Range Analysis'!$F$8,FALSE())*(NORMDIST((('Range Analysis'!$F$6-IF('Range Analysis'!K25&lt;=0,0,'Range Analysis'!J25*MAX(0,1.04-EXP(0.38*LN('Range Analysis'!K25)-0.54))))-$A$278)/('Range Analysis'!J25/2),0,1,TRUE())-NORMDIST((-('Range Analysis'!$F$6-IF('Range Analysis'!K25&lt;=0,0,'Range Analysis'!J25*MAX(0,1.04-EXP(0.38*LN('Range Analysis'!K25)-0.54))))-$A$278)/('Range Analysis'!J25/2),0,1,TRUE()))</f>
        <v>0.30635510402671584</v>
      </c>
      <c r="L278">
        <f>NORMDIST($A$278,0,'Range Analysis'!$F$8,FALSE())*(NORMDIST((('Range Analysis'!$F$6-IF('Range Analysis'!K26&lt;=0,0,'Range Analysis'!J26*MAX(0,1.04-EXP(0.38*LN('Range Analysis'!K26)-0.54))))-$A$278)/('Range Analysis'!J26/2),0,1,TRUE())-NORMDIST((-('Range Analysis'!$F$6-IF('Range Analysis'!K26&lt;=0,0,'Range Analysis'!J26*MAX(0,1.04-EXP(0.38*LN('Range Analysis'!K26)-0.54))))-$A$278)/('Range Analysis'!J26/2),0,1,TRUE()))</f>
        <v>0.30635510402671584</v>
      </c>
      <c r="M278">
        <f>NORMDIST($A$278,0,'Range Analysis'!$F$8,FALSE())*(NORMDIST((('Range Analysis'!$F$6-IF('Range Analysis'!K27&lt;=0,0,'Range Analysis'!J27*MAX(0,1.04-EXP(0.38*LN('Range Analysis'!K27)-0.54))))-$A$278)/('Range Analysis'!J27/2),0,1,TRUE())-NORMDIST((-('Range Analysis'!$F$6-IF('Range Analysis'!K27&lt;=0,0,'Range Analysis'!J27*MAX(0,1.04-EXP(0.38*LN('Range Analysis'!K27)-0.54))))-$A$278)/('Range Analysis'!J27/2),0,1,TRUE()))</f>
        <v>0.34760673792198987</v>
      </c>
      <c r="N278">
        <f>NORMDIST($A$278,0,'Range Analysis'!$F$8,FALSE())*(NORMDIST((('Range Analysis'!$F$6-IF('Range Analysis'!K28&lt;=0,0,'Range Analysis'!J28*MAX(0,1.04-EXP(0.38*LN('Range Analysis'!K28)-0.54))))-$A$278)/('Range Analysis'!J28/2),0,1,TRUE())-NORMDIST((-('Range Analysis'!$F$6-IF('Range Analysis'!K28&lt;=0,0,'Range Analysis'!J28*MAX(0,1.04-EXP(0.38*LN('Range Analysis'!K28)-0.54))))-$A$278)/('Range Analysis'!J28/2),0,1,TRUE()))</f>
        <v>0.45589565597028192</v>
      </c>
      <c r="O278">
        <f>NORMDIST($A$278,0,'Range Analysis'!$F$8,FALSE())*(NORMDIST((('Range Analysis'!$F$6-IF('Range Analysis'!K29&lt;=0,0,'Range Analysis'!J29*MAX(0,1.04-EXP(0.38*LN('Range Analysis'!K29)-0.54))))-$A$278)/('Range Analysis'!J29/2),0,1,TRUE())-NORMDIST((-('Range Analysis'!$F$6-IF('Range Analysis'!K29&lt;=0,0,'Range Analysis'!J29*MAX(0,1.04-EXP(0.38*LN('Range Analysis'!K29)-0.54))))-$A$278)/('Range Analysis'!J29/2),0,1,TRUE()))</f>
        <v>8.6916722762417339E-2</v>
      </c>
      <c r="P278">
        <f>NORMDIST($A$278,0,'Range Analysis'!$F$8,FALSE())*(NORMDIST((('Range Analysis'!$F$6-IF('Range Analysis'!K30&lt;=0,0,'Range Analysis'!J30*MAX(0,1.04-EXP(0.38*LN('Range Analysis'!K30)-0.54))))-$A$278)/('Range Analysis'!J30/2),0,1,TRUE())-NORMDIST((-('Range Analysis'!$F$6-IF('Range Analysis'!K30&lt;=0,0,'Range Analysis'!J30*MAX(0,1.04-EXP(0.38*LN('Range Analysis'!K30)-0.54))))-$A$278)/('Range Analysis'!J30/2),0,1,TRUE()))</f>
        <v>4.5073845278185296E-2</v>
      </c>
      <c r="Q278">
        <f>NORMDIST($A$278,0,'Range Analysis'!$F$8,FALSE())*(NORMDIST(('Range Analysis'!$F$6-$A$278)/('Range Analysis'!J24/2),0,1,TRUE())-NORMDIST((-'Range Analysis'!$F$6-$A$278)/('Range Analysis'!J24/2),0,1,TRUE()))</f>
        <v>0.28893733357213441</v>
      </c>
      <c r="R278">
        <f>NORMDIST($A$278,0,'Range Analysis'!$F$8,FALSE())*(NORMDIST(('Range Analysis'!$F$6-$A$278)/('Range Analysis'!J25/2),0,1,TRUE())-NORMDIST((-'Range Analysis'!$F$6-$A$278)/('Range Analysis'!J25/2),0,1,TRUE()))</f>
        <v>0.34326063981960364</v>
      </c>
      <c r="S278">
        <f>NORMDIST($A$278,0,'Range Analysis'!$F$8,FALSE())*(NORMDIST(('Range Analysis'!$F$6-$A$278)/('Range Analysis'!J26/2),0,1,TRUE())-NORMDIST((-'Range Analysis'!$F$6-$A$278)/('Range Analysis'!J26/2),0,1,TRUE()))</f>
        <v>0.34326063981960364</v>
      </c>
      <c r="T278">
        <f>NORMDIST($A$278,0,'Range Analysis'!$F$8,FALSE())*(NORMDIST(('Range Analysis'!$F$6-$A$278)/('Range Analysis'!J27/2),0,1,TRUE())-NORMDIST((-'Range Analysis'!$F$6-$A$278)/('Range Analysis'!J27/2),0,1,TRUE()))</f>
        <v>0.36199851507161374</v>
      </c>
      <c r="U278">
        <f>NORMDIST($A$278,0,'Range Analysis'!$F$8,FALSE())*(NORMDIST(('Range Analysis'!$F$6-$A$278)/('Range Analysis'!J28/2),0,1,TRUE())-NORMDIST((-'Range Analysis'!$F$6-$A$278)/('Range Analysis'!J28/2),0,1,TRUE()))</f>
        <v>0.45589565597028192</v>
      </c>
      <c r="V278">
        <f>NORMDIST($A$278,0,'Range Analysis'!$F$8,FALSE())*(NORMDIST(('Range Analysis'!$F$6-$A$278)/('Range Analysis'!J29/2),0,1,TRUE())-NORMDIST((-'Range Analysis'!$F$6-$A$278)/('Range Analysis'!J29/2),0,1,TRUE()))</f>
        <v>0.25853031359103151</v>
      </c>
      <c r="W278">
        <f>NORMDIST($A$278,0,'Range Analysis'!$F$8,FALSE())*(NORMDIST((('Range Analysis'!$F$6-0)-$A$278)/('Range Analysis'!J30/2),0,1,TRUE())-NORMDIST((-('Range Analysis'!$F$6-0)-$A$278)/('Range Analysis'!J30/2),0,1,TRUE()))</f>
        <v>0.25014179753689403</v>
      </c>
    </row>
    <row r="279" spans="1:23" ht="15" customHeight="1" x14ac:dyDescent="0.25">
      <c r="A279">
        <f>-'Range Analysis'!$F$6+3*$B$275</f>
        <v>-0.42307692307692307</v>
      </c>
      <c r="C279">
        <f>NORMDIST($A$279,0,'Range Analysis'!$F$8,FALSE())*(NORMDIST((('Range Analysis'!$F$6-0.98*'Range Analysis'!J24)-$A$279)/('Range Analysis'!J24/2),0,1,TRUE())-NORMDIST((-('Range Analysis'!$F$6-0.98*'Range Analysis'!J24)-$A$279)/('Range Analysis'!J24/2),0,1,TRUE()))</f>
        <v>3.7771101567599698E-2</v>
      </c>
      <c r="D279">
        <f>NORMDIST($A$279,0,'Range Analysis'!$F$8,FALSE())*(NORMDIST((('Range Analysis'!$F$6-0.98*'Range Analysis'!J25)-$A$279)/('Range Analysis'!J25/2),0,1,TRUE())-NORMDIST((-('Range Analysis'!$F$6-0.98*'Range Analysis'!J25)-$A$279)/('Range Analysis'!J25/2),0,1,TRUE()))</f>
        <v>8.9463127602201861E-2</v>
      </c>
      <c r="E279">
        <f>NORMDIST($A$279,0,'Range Analysis'!$F$8,FALSE())*(NORMDIST((('Range Analysis'!$F$6-0.98*'Range Analysis'!J26)-$A$279)/('Range Analysis'!J26/2),0,1,TRUE())-NORMDIST((-('Range Analysis'!$F$6-0.98*'Range Analysis'!J26)-$A$279)/('Range Analysis'!J26/2),0,1,TRUE()))</f>
        <v>8.9463127602201861E-2</v>
      </c>
      <c r="F279">
        <f>NORMDIST($A$279,0,'Range Analysis'!$F$8,FALSE())*(NORMDIST((('Range Analysis'!$F$6-0.98*'Range Analysis'!J27)-$A$279)/('Range Analysis'!J27/2),0,1,TRUE())-NORMDIST((-('Range Analysis'!$F$6-0.98*'Range Analysis'!J27)-$A$279)/('Range Analysis'!J27/2),0,1,TRUE()))</f>
        <v>0.11903772124374</v>
      </c>
      <c r="G279">
        <f>NORMDIST($A$279,0,'Range Analysis'!$F$8,FALSE())*(NORMDIST((('Range Analysis'!$F$6-0.98*'Range Analysis'!J28)-$A$279)/('Range Analysis'!J28/2),0,1,TRUE())-NORMDIST((-('Range Analysis'!$F$6-0.98*'Range Analysis'!J28)-$A$279)/('Range Analysis'!J28/2),0,1,TRUE()))</f>
        <v>0.51104447799743435</v>
      </c>
      <c r="H279">
        <f>NORMDIST($A$279,0,'Range Analysis'!$F$8,FALSE())*(NORMDIST((('Range Analysis'!$F$6-0.98*'Range Analysis'!J29)-$A$279)/('Range Analysis'!J29/2),0,1,TRUE())-NORMDIST((-('Range Analysis'!$F$6-0.98*'Range Analysis'!J29)-$A$279)/('Range Analysis'!J29/2),0,1,TRUE()))</f>
        <v>-4.4861900935752756E-2</v>
      </c>
      <c r="I279">
        <f>NORMDIST($A$279,0,'Range Analysis'!$F$8,FALSE())*(NORMDIST((('Range Analysis'!$F$6-0.98*'Range Analysis'!J30)-$A$279)/('Range Analysis'!J30/2),0,1,TRUE())-NORMDIST((-('Range Analysis'!$F$6-0.98*'Range Analysis'!J30)-$A$279)/('Range Analysis'!J30/2),0,1,TRUE()))</f>
        <v>-0.13714159050627886</v>
      </c>
      <c r="J279">
        <f>NORMDIST($A$279,0,'Range Analysis'!$F$8,FALSE())*(NORMDIST((('Range Analysis'!$F$6-IF('Range Analysis'!K24&lt;=0,0,'Range Analysis'!J24*MAX(0,1.04-EXP(0.38*LN('Range Analysis'!K24)-0.54))))-$A$279)/('Range Analysis'!J24/2),0,1,TRUE())-NORMDIST((-('Range Analysis'!$F$6-IF('Range Analysis'!K24&lt;=0,0,'Range Analysis'!J24*MAX(0,1.04-EXP(0.38*LN('Range Analysis'!K24)-0.54))))-$A$279)/('Range Analysis'!J24/2),0,1,TRUE()))</f>
        <v>0.22465310123977081</v>
      </c>
      <c r="K279">
        <f>NORMDIST($A$279,0,'Range Analysis'!$F$8,FALSE())*(NORMDIST((('Range Analysis'!$F$6-IF('Range Analysis'!K25&lt;=0,0,'Range Analysis'!J25*MAX(0,1.04-EXP(0.38*LN('Range Analysis'!K25)-0.54))))-$A$279)/('Range Analysis'!J25/2),0,1,TRUE())-NORMDIST((-('Range Analysis'!$F$6-IF('Range Analysis'!K25&lt;=0,0,'Range Analysis'!J25*MAX(0,1.04-EXP(0.38*LN('Range Analysis'!K25)-0.54))))-$A$279)/('Range Analysis'!J25/2),0,1,TRUE()))</f>
        <v>0.40088450231144152</v>
      </c>
      <c r="L279">
        <f>NORMDIST($A$279,0,'Range Analysis'!$F$8,FALSE())*(NORMDIST((('Range Analysis'!$F$6-IF('Range Analysis'!K26&lt;=0,0,'Range Analysis'!J26*MAX(0,1.04-EXP(0.38*LN('Range Analysis'!K26)-0.54))))-$A$279)/('Range Analysis'!J26/2),0,1,TRUE())-NORMDIST((-('Range Analysis'!$F$6-IF('Range Analysis'!K26&lt;=0,0,'Range Analysis'!J26*MAX(0,1.04-EXP(0.38*LN('Range Analysis'!K26)-0.54))))-$A$279)/('Range Analysis'!J26/2),0,1,TRUE()))</f>
        <v>0.40088450231144152</v>
      </c>
      <c r="M279">
        <f>NORMDIST($A$279,0,'Range Analysis'!$F$8,FALSE())*(NORMDIST((('Range Analysis'!$F$6-IF('Range Analysis'!K27&lt;=0,0,'Range Analysis'!J27*MAX(0,1.04-EXP(0.38*LN('Range Analysis'!K27)-0.54))))-$A$279)/('Range Analysis'!J27/2),0,1,TRUE())-NORMDIST((-('Range Analysis'!$F$6-IF('Range Analysis'!K27&lt;=0,0,'Range Analysis'!J27*MAX(0,1.04-EXP(0.38*LN('Range Analysis'!K27)-0.54))))-$A$279)/('Range Analysis'!J27/2),0,1,TRUE()))</f>
        <v>0.44440691562175721</v>
      </c>
      <c r="N279">
        <f>NORMDIST($A$279,0,'Range Analysis'!$F$8,FALSE())*(NORMDIST((('Range Analysis'!$F$6-IF('Range Analysis'!K28&lt;=0,0,'Range Analysis'!J28*MAX(0,1.04-EXP(0.38*LN('Range Analysis'!K28)-0.54))))-$A$279)/('Range Analysis'!J28/2),0,1,TRUE())-NORMDIST((-('Range Analysis'!$F$6-IF('Range Analysis'!K28&lt;=0,0,'Range Analysis'!J28*MAX(0,1.04-EXP(0.38*LN('Range Analysis'!K28)-0.54))))-$A$279)/('Range Analysis'!J28/2),0,1,TRUE()))</f>
        <v>0.51104447799743435</v>
      </c>
      <c r="O279">
        <f>NORMDIST($A$279,0,'Range Analysis'!$F$8,FALSE())*(NORMDIST((('Range Analysis'!$F$6-IF('Range Analysis'!K29&lt;=0,0,'Range Analysis'!J29*MAX(0,1.04-EXP(0.38*LN('Range Analysis'!K29)-0.54))))-$A$279)/('Range Analysis'!J29/2),0,1,TRUE())-NORMDIST((-('Range Analysis'!$F$6-IF('Range Analysis'!K29&lt;=0,0,'Range Analysis'!J29*MAX(0,1.04-EXP(0.38*LN('Range Analysis'!K29)-0.54))))-$A$279)/('Range Analysis'!J29/2),0,1,TRUE()))</f>
        <v>0.10847988084955401</v>
      </c>
      <c r="P279">
        <f>NORMDIST($A$279,0,'Range Analysis'!$F$8,FALSE())*(NORMDIST((('Range Analysis'!$F$6-IF('Range Analysis'!K30&lt;=0,0,'Range Analysis'!J30*MAX(0,1.04-EXP(0.38*LN('Range Analysis'!K30)-0.54))))-$A$279)/('Range Analysis'!J30/2),0,1,TRUE())-NORMDIST((-('Range Analysis'!$F$6-IF('Range Analysis'!K30&lt;=0,0,'Range Analysis'!J30*MAX(0,1.04-EXP(0.38*LN('Range Analysis'!K30)-0.54))))-$A$279)/('Range Analysis'!J30/2),0,1,TRUE()))</f>
        <v>5.4615107642626955E-2</v>
      </c>
      <c r="Q279">
        <f>NORMDIST($A$279,0,'Range Analysis'!$F$8,FALSE())*(NORMDIST(('Range Analysis'!$F$6-$A$279)/('Range Analysis'!J24/2),0,1,TRUE())-NORMDIST((-'Range Analysis'!$F$6-$A$279)/('Range Analysis'!J24/2),0,1,TRUE()))</f>
        <v>0.35566731207970737</v>
      </c>
      <c r="R279">
        <f>NORMDIST($A$279,0,'Range Analysis'!$F$8,FALSE())*(NORMDIST(('Range Analysis'!$F$6-$A$279)/('Range Analysis'!J25/2),0,1,TRUE())-NORMDIST((-'Range Analysis'!$F$6-$A$279)/('Range Analysis'!J25/2),0,1,TRUE()))</f>
        <v>0.43309465372369804</v>
      </c>
      <c r="S279">
        <f>NORMDIST($A$279,0,'Range Analysis'!$F$8,FALSE())*(NORMDIST(('Range Analysis'!$F$6-$A$279)/('Range Analysis'!J26/2),0,1,TRUE())-NORMDIST((-'Range Analysis'!$F$6-$A$279)/('Range Analysis'!J26/2),0,1,TRUE()))</f>
        <v>0.43309465372369804</v>
      </c>
      <c r="T279">
        <f>NORMDIST($A$279,0,'Range Analysis'!$F$8,FALSE())*(NORMDIST(('Range Analysis'!$F$6-$A$279)/('Range Analysis'!J27/2),0,1,TRUE())-NORMDIST((-'Range Analysis'!$F$6-$A$279)/('Range Analysis'!J27/2),0,1,TRUE()))</f>
        <v>0.45523607361459706</v>
      </c>
      <c r="U279">
        <f>NORMDIST($A$279,0,'Range Analysis'!$F$8,FALSE())*(NORMDIST(('Range Analysis'!$F$6-$A$279)/('Range Analysis'!J28/2),0,1,TRUE())-NORMDIST((-'Range Analysis'!$F$6-$A$279)/('Range Analysis'!J28/2),0,1,TRUE()))</f>
        <v>0.51104447799743435</v>
      </c>
      <c r="V279">
        <f>NORMDIST($A$279,0,'Range Analysis'!$F$8,FALSE())*(NORMDIST(('Range Analysis'!$F$6-$A$279)/('Range Analysis'!J29/2),0,1,TRUE())-NORMDIST((-'Range Analysis'!$F$6-$A$279)/('Range Analysis'!J29/2),0,1,TRUE()))</f>
        <v>0.3066968118831398</v>
      </c>
      <c r="W279">
        <f>NORMDIST($A$279,0,'Range Analysis'!$F$8,FALSE())*(NORMDIST((('Range Analysis'!$F$6-0)-$A$279)/('Range Analysis'!J30/2),0,1,TRUE())-NORMDIST((-('Range Analysis'!$F$6-0)-$A$279)/('Range Analysis'!J30/2),0,1,TRUE()))</f>
        <v>0.2935168073971417</v>
      </c>
    </row>
    <row r="280" spans="1:23" ht="15" customHeight="1" x14ac:dyDescent="0.25">
      <c r="A280">
        <f>-'Range Analysis'!$F$6+4*$B$275</f>
        <v>-0.39743589743589747</v>
      </c>
      <c r="C280">
        <f>NORMDIST($A$280,0,'Range Analysis'!$F$8,FALSE())*(NORMDIST((('Range Analysis'!$F$6-0.98*'Range Analysis'!J24)-$A$280)/('Range Analysis'!J24/2),0,1,TRUE())-NORMDIST((-('Range Analysis'!$F$6-0.98*'Range Analysis'!J24)-$A$280)/('Range Analysis'!J24/2),0,1,TRUE()))</f>
        <v>5.7418891900966079E-2</v>
      </c>
      <c r="D280">
        <f>NORMDIST($A$280,0,'Range Analysis'!$F$8,FALSE())*(NORMDIST((('Range Analysis'!$F$6-0.98*'Range Analysis'!J25)-$A$280)/('Range Analysis'!J25/2),0,1,TRUE())-NORMDIST((-('Range Analysis'!$F$6-0.98*'Range Analysis'!J25)-$A$280)/('Range Analysis'!J25/2),0,1,TRUE()))</f>
        <v>0.15748745401560554</v>
      </c>
      <c r="E280">
        <f>NORMDIST($A$280,0,'Range Analysis'!$F$8,FALSE())*(NORMDIST((('Range Analysis'!$F$6-0.98*'Range Analysis'!J26)-$A$280)/('Range Analysis'!J26/2),0,1,TRUE())-NORMDIST((-('Range Analysis'!$F$6-0.98*'Range Analysis'!J26)-$A$280)/('Range Analysis'!J26/2),0,1,TRUE()))</f>
        <v>0.15748745401560554</v>
      </c>
      <c r="F280">
        <f>NORMDIST($A$280,0,'Range Analysis'!$F$8,FALSE())*(NORMDIST((('Range Analysis'!$F$6-0.98*'Range Analysis'!J27)-$A$280)/('Range Analysis'!J27/2),0,1,TRUE())-NORMDIST((-('Range Analysis'!$F$6-0.98*'Range Analysis'!J27)-$A$280)/('Range Analysis'!J27/2),0,1,TRUE()))</f>
        <v>0.21331374123067379</v>
      </c>
      <c r="G280">
        <f>NORMDIST($A$280,0,'Range Analysis'!$F$8,FALSE())*(NORMDIST((('Range Analysis'!$F$6-0.98*'Range Analysis'!J28)-$A$280)/('Range Analysis'!J28/2),0,1,TRUE())-NORMDIST((-('Range Analysis'!$F$6-0.98*'Range Analysis'!J28)-$A$280)/('Range Analysis'!J28/2),0,1,TRUE()))</f>
        <v>0.56902938754436305</v>
      </c>
      <c r="H280">
        <f>NORMDIST($A$280,0,'Range Analysis'!$F$8,FALSE())*(NORMDIST((('Range Analysis'!$F$6-0.98*'Range Analysis'!J29)-$A$280)/('Range Analysis'!J29/2),0,1,TRUE())-NORMDIST((-('Range Analysis'!$F$6-0.98*'Range Analysis'!J29)-$A$280)/('Range Analysis'!J29/2),0,1,TRUE()))</f>
        <v>-5.5961658588701231E-2</v>
      </c>
      <c r="I280">
        <f>NORMDIST($A$280,0,'Range Analysis'!$F$8,FALSE())*(NORMDIST((('Range Analysis'!$F$6-0.98*'Range Analysis'!J30)-$A$280)/('Range Analysis'!J30/2),0,1,TRUE())-NORMDIST((-('Range Analysis'!$F$6-0.98*'Range Analysis'!J30)-$A$280)/('Range Analysis'!J30/2),0,1,TRUE()))</f>
        <v>-0.16308280961884422</v>
      </c>
      <c r="J280">
        <f>NORMDIST($A$280,0,'Range Analysis'!$F$8,FALSE())*(NORMDIST((('Range Analysis'!$F$6-IF('Range Analysis'!K24&lt;=0,0,'Range Analysis'!J24*MAX(0,1.04-EXP(0.38*LN('Range Analysis'!K24)-0.54))))-$A$280)/('Range Analysis'!J24/2),0,1,TRUE())-NORMDIST((-('Range Analysis'!$F$6-IF('Range Analysis'!K24&lt;=0,0,'Range Analysis'!J24*MAX(0,1.04-EXP(0.38*LN('Range Analysis'!K24)-0.54))))-$A$280)/('Range Analysis'!J24/2),0,1,TRUE()))</f>
        <v>0.28881547382914413</v>
      </c>
      <c r="K280">
        <f>NORMDIST($A$280,0,'Range Analysis'!$F$8,FALSE())*(NORMDIST((('Range Analysis'!$F$6-IF('Range Analysis'!K25&lt;=0,0,'Range Analysis'!J25*MAX(0,1.04-EXP(0.38*LN('Range Analysis'!K25)-0.54))))-$A$280)/('Range Analysis'!J25/2),0,1,TRUE())-NORMDIST((-('Range Analysis'!$F$6-IF('Range Analysis'!K25&lt;=0,0,'Range Analysis'!J25*MAX(0,1.04-EXP(0.38*LN('Range Analysis'!K25)-0.54))))-$A$280)/('Range Analysis'!J25/2),0,1,TRUE()))</f>
        <v>0.49538859667912488</v>
      </c>
      <c r="L280">
        <f>NORMDIST($A$280,0,'Range Analysis'!$F$8,FALSE())*(NORMDIST((('Range Analysis'!$F$6-IF('Range Analysis'!K26&lt;=0,0,'Range Analysis'!J26*MAX(0,1.04-EXP(0.38*LN('Range Analysis'!K26)-0.54))))-$A$280)/('Range Analysis'!J26/2),0,1,TRUE())-NORMDIST((-('Range Analysis'!$F$6-IF('Range Analysis'!K26&lt;=0,0,'Range Analysis'!J26*MAX(0,1.04-EXP(0.38*LN('Range Analysis'!K26)-0.54))))-$A$280)/('Range Analysis'!J26/2),0,1,TRUE()))</f>
        <v>0.49538859667912488</v>
      </c>
      <c r="M280">
        <f>NORMDIST($A$280,0,'Range Analysis'!$F$8,FALSE())*(NORMDIST((('Range Analysis'!$F$6-IF('Range Analysis'!K27&lt;=0,0,'Range Analysis'!J27*MAX(0,1.04-EXP(0.38*LN('Range Analysis'!K27)-0.54))))-$A$280)/('Range Analysis'!J27/2),0,1,TRUE())-NORMDIST((-('Range Analysis'!$F$6-IF('Range Analysis'!K27&lt;=0,0,'Range Analysis'!J27*MAX(0,1.04-EXP(0.38*LN('Range Analysis'!K27)-0.54))))-$A$280)/('Range Analysis'!J27/2),0,1,TRUE()))</f>
        <v>0.53351139003984394</v>
      </c>
      <c r="N280">
        <f>NORMDIST($A$280,0,'Range Analysis'!$F$8,FALSE())*(NORMDIST((('Range Analysis'!$F$6-IF('Range Analysis'!K28&lt;=0,0,'Range Analysis'!J28*MAX(0,1.04-EXP(0.38*LN('Range Analysis'!K28)-0.54))))-$A$280)/('Range Analysis'!J28/2),0,1,TRUE())-NORMDIST((-('Range Analysis'!$F$6-IF('Range Analysis'!K28&lt;=0,0,'Range Analysis'!J28*MAX(0,1.04-EXP(0.38*LN('Range Analysis'!K28)-0.54))))-$A$280)/('Range Analysis'!J28/2),0,1,TRUE()))</f>
        <v>0.56902938754436305</v>
      </c>
      <c r="O280">
        <f>NORMDIST($A$280,0,'Range Analysis'!$F$8,FALSE())*(NORMDIST((('Range Analysis'!$F$6-IF('Range Analysis'!K29&lt;=0,0,'Range Analysis'!J29*MAX(0,1.04-EXP(0.38*LN('Range Analysis'!K29)-0.54))))-$A$280)/('Range Analysis'!J29/2),0,1,TRUE())-NORMDIST((-('Range Analysis'!$F$6-IF('Range Analysis'!K29&lt;=0,0,'Range Analysis'!J29*MAX(0,1.04-EXP(0.38*LN('Range Analysis'!K29)-0.54))))-$A$280)/('Range Analysis'!J29/2),0,1,TRUE()))</f>
        <v>0.13362661458704153</v>
      </c>
      <c r="P280">
        <f>NORMDIST($A$280,0,'Range Analysis'!$F$8,FALSE())*(NORMDIST((('Range Analysis'!$F$6-IF('Range Analysis'!K30&lt;=0,0,'Range Analysis'!J30*MAX(0,1.04-EXP(0.38*LN('Range Analysis'!K30)-0.54))))-$A$280)/('Range Analysis'!J30/2),0,1,TRUE())-NORMDIST((-('Range Analysis'!$F$6-IF('Range Analysis'!K30&lt;=0,0,'Range Analysis'!J30*MAX(0,1.04-EXP(0.38*LN('Range Analysis'!K30)-0.54))))-$A$280)/('Range Analysis'!J30/2),0,1,TRUE()))</f>
        <v>6.543277761634976E-2</v>
      </c>
      <c r="Q280">
        <f>NORMDIST($A$280,0,'Range Analysis'!$F$8,FALSE())*(NORMDIST(('Range Analysis'!$F$6-$A$280)/('Range Analysis'!J24/2),0,1,TRUE())-NORMDIST((-'Range Analysis'!$F$6-$A$280)/('Range Analysis'!J24/2),0,1,TRUE()))</f>
        <v>0.42844319484600851</v>
      </c>
      <c r="R280">
        <f>NORMDIST($A$280,0,'Range Analysis'!$F$8,FALSE())*(NORMDIST(('Range Analysis'!$F$6-$A$280)/('Range Analysis'!J25/2),0,1,TRUE())-NORMDIST((-'Range Analysis'!$F$6-$A$280)/('Range Analysis'!J25/2),0,1,TRUE()))</f>
        <v>0.52024594493177212</v>
      </c>
      <c r="S280">
        <f>NORMDIST($A$280,0,'Range Analysis'!$F$8,FALSE())*(NORMDIST(('Range Analysis'!$F$6-$A$280)/('Range Analysis'!J26/2),0,1,TRUE())-NORMDIST((-'Range Analysis'!$F$6-$A$280)/('Range Analysis'!J26/2),0,1,TRUE()))</f>
        <v>0.52024594493177212</v>
      </c>
      <c r="T280">
        <f>NORMDIST($A$280,0,'Range Analysis'!$F$8,FALSE())*(NORMDIST(('Range Analysis'!$F$6-$A$280)/('Range Analysis'!J27/2),0,1,TRUE())-NORMDIST((-'Range Analysis'!$F$6-$A$280)/('Range Analysis'!J27/2),0,1,TRUE()))</f>
        <v>0.54035255615293531</v>
      </c>
      <c r="U280">
        <f>NORMDIST($A$280,0,'Range Analysis'!$F$8,FALSE())*(NORMDIST(('Range Analysis'!$F$6-$A$280)/('Range Analysis'!J28/2),0,1,TRUE())-NORMDIST((-'Range Analysis'!$F$6-$A$280)/('Range Analysis'!J28/2),0,1,TRUE()))</f>
        <v>0.56902938754436305</v>
      </c>
      <c r="V280">
        <f>NORMDIST($A$280,0,'Range Analysis'!$F$8,FALSE())*(NORMDIST(('Range Analysis'!$F$6-$A$280)/('Range Analysis'!J29/2),0,1,TRUE())-NORMDIST((-'Range Analysis'!$F$6-$A$280)/('Range Analysis'!J29/2),0,1,TRUE()))</f>
        <v>0.35984921223356636</v>
      </c>
      <c r="W280">
        <f>NORMDIST($A$280,0,'Range Analysis'!$F$8,FALSE())*(NORMDIST((('Range Analysis'!$F$6-0)-$A$280)/('Range Analysis'!J30/2),0,1,TRUE())-NORMDIST((-('Range Analysis'!$F$6-0)-$A$280)/('Range Analysis'!J30/2),0,1,TRUE()))</f>
        <v>0.34108490573840994</v>
      </c>
    </row>
    <row r="281" spans="1:23" ht="15" customHeight="1" x14ac:dyDescent="0.25">
      <c r="A281">
        <f>-'Range Analysis'!$F$6+5*$B$275</f>
        <v>-0.37179487179487181</v>
      </c>
      <c r="C281">
        <f>NORMDIST($A$281,0,'Range Analysis'!$F$8,FALSE())*(NORMDIST((('Range Analysis'!$F$6-0.98*'Range Analysis'!J24)-$A$281)/('Range Analysis'!J24/2),0,1,TRUE())-NORMDIST((-('Range Analysis'!$F$6-0.98*'Range Analysis'!J24)-$A$281)/('Range Analysis'!J24/2),0,1,TRUE()))</f>
        <v>8.4620374974497301E-2</v>
      </c>
      <c r="D281">
        <f>NORMDIST($A$281,0,'Range Analysis'!$F$8,FALSE())*(NORMDIST((('Range Analysis'!$F$6-0.98*'Range Analysis'!J25)-$A$281)/('Range Analysis'!J25/2),0,1,TRUE())-NORMDIST((-('Range Analysis'!$F$6-0.98*'Range Analysis'!J25)-$A$281)/('Range Analysis'!J25/2),0,1,TRUE()))</f>
        <v>0.25240929198706497</v>
      </c>
      <c r="E281">
        <f>NORMDIST($A$281,0,'Range Analysis'!$F$8,FALSE())*(NORMDIST((('Range Analysis'!$F$6-0.98*'Range Analysis'!J26)-$A$281)/('Range Analysis'!J26/2),0,1,TRUE())-NORMDIST((-('Range Analysis'!$F$6-0.98*'Range Analysis'!J26)-$A$281)/('Range Analysis'!J26/2),0,1,TRUE()))</f>
        <v>0.25240929198706497</v>
      </c>
      <c r="F281">
        <f>NORMDIST($A$281,0,'Range Analysis'!$F$8,FALSE())*(NORMDIST((('Range Analysis'!$F$6-0.98*'Range Analysis'!J27)-$A$281)/('Range Analysis'!J27/2),0,1,TRUE())-NORMDIST((-('Range Analysis'!$F$6-0.98*'Range Analysis'!J27)-$A$281)/('Range Analysis'!J27/2),0,1,TRUE()))</f>
        <v>0.33756272862132691</v>
      </c>
      <c r="G281">
        <f>NORMDIST($A$281,0,'Range Analysis'!$F$8,FALSE())*(NORMDIST((('Range Analysis'!$F$6-0.98*'Range Analysis'!J28)-$A$281)/('Range Analysis'!J28/2),0,1,TRUE())-NORMDIST((-('Range Analysis'!$F$6-0.98*'Range Analysis'!J28)-$A$281)/('Range Analysis'!J28/2),0,1,TRUE()))</f>
        <v>0.62935174766951929</v>
      </c>
      <c r="H281">
        <f>NORMDIST($A$281,0,'Range Analysis'!$F$8,FALSE())*(NORMDIST((('Range Analysis'!$F$6-0.98*'Range Analysis'!J29)-$A$281)/('Range Analysis'!J29/2),0,1,TRUE())-NORMDIST((-('Range Analysis'!$F$6-0.98*'Range Analysis'!J29)-$A$281)/('Range Analysis'!J29/2),0,1,TRUE()))</f>
        <v>-6.8849534516231423E-2</v>
      </c>
      <c r="I281">
        <f>NORMDIST($A$281,0,'Range Analysis'!$F$8,FALSE())*(NORMDIST((('Range Analysis'!$F$6-0.98*'Range Analysis'!J30)-$A$281)/('Range Analysis'!J30/2),0,1,TRUE())-NORMDIST((-('Range Analysis'!$F$6-0.98*'Range Analysis'!J30)-$A$281)/('Range Analysis'!J30/2),0,1,TRUE()))</f>
        <v>-0.19183714350955719</v>
      </c>
      <c r="J281">
        <f>NORMDIST($A$281,0,'Range Analysis'!$F$8,FALSE())*(NORMDIST((('Range Analysis'!$F$6-IF('Range Analysis'!K24&lt;=0,0,'Range Analysis'!J24*MAX(0,1.04-EXP(0.38*LN('Range Analysis'!K24)-0.54))))-$A$281)/('Range Analysis'!J24/2),0,1,TRUE())-NORMDIST((-('Range Analysis'!$F$6-IF('Range Analysis'!K24&lt;=0,0,'Range Analysis'!J24*MAX(0,1.04-EXP(0.38*LN('Range Analysis'!K24)-0.54))))-$A$281)/('Range Analysis'!J24/2),0,1,TRUE()))</f>
        <v>0.36206665283188699</v>
      </c>
      <c r="K281">
        <f>NORMDIST($A$281,0,'Range Analysis'!$F$8,FALSE())*(NORMDIST((('Range Analysis'!$F$6-IF('Range Analysis'!K25&lt;=0,0,'Range Analysis'!J25*MAX(0,1.04-EXP(0.38*LN('Range Analysis'!K25)-0.54))))-$A$281)/('Range Analysis'!J25/2),0,1,TRUE())-NORMDIST((-('Range Analysis'!$F$6-IF('Range Analysis'!K25&lt;=0,0,'Range Analysis'!J25*MAX(0,1.04-EXP(0.38*LN('Range Analysis'!K25)-0.54))))-$A$281)/('Range Analysis'!J25/2),0,1,TRUE()))</f>
        <v>0.58489444892620246</v>
      </c>
      <c r="L281">
        <f>NORMDIST($A$281,0,'Range Analysis'!$F$8,FALSE())*(NORMDIST((('Range Analysis'!$F$6-IF('Range Analysis'!K26&lt;=0,0,'Range Analysis'!J26*MAX(0,1.04-EXP(0.38*LN('Range Analysis'!K26)-0.54))))-$A$281)/('Range Analysis'!J26/2),0,1,TRUE())-NORMDIST((-('Range Analysis'!$F$6-IF('Range Analysis'!K26&lt;=0,0,'Range Analysis'!J26*MAX(0,1.04-EXP(0.38*LN('Range Analysis'!K26)-0.54))))-$A$281)/('Range Analysis'!J26/2),0,1,TRUE()))</f>
        <v>0.58489444892620246</v>
      </c>
      <c r="M281">
        <f>NORMDIST($A$281,0,'Range Analysis'!$F$8,FALSE())*(NORMDIST((('Range Analysis'!$F$6-IF('Range Analysis'!K27&lt;=0,0,'Range Analysis'!J27*MAX(0,1.04-EXP(0.38*LN('Range Analysis'!K27)-0.54))))-$A$281)/('Range Analysis'!J27/2),0,1,TRUE())-NORMDIST((-('Range Analysis'!$F$6-IF('Range Analysis'!K27&lt;=0,0,'Range Analysis'!J27*MAX(0,1.04-EXP(0.38*LN('Range Analysis'!K27)-0.54))))-$A$281)/('Range Analysis'!J27/2),0,1,TRUE()))</f>
        <v>0.61306090535870006</v>
      </c>
      <c r="N281">
        <f>NORMDIST($A$281,0,'Range Analysis'!$F$8,FALSE())*(NORMDIST((('Range Analysis'!$F$6-IF('Range Analysis'!K28&lt;=0,0,'Range Analysis'!J28*MAX(0,1.04-EXP(0.38*LN('Range Analysis'!K28)-0.54))))-$A$281)/('Range Analysis'!J28/2),0,1,TRUE())-NORMDIST((-('Range Analysis'!$F$6-IF('Range Analysis'!K28&lt;=0,0,'Range Analysis'!J28*MAX(0,1.04-EXP(0.38*LN('Range Analysis'!K28)-0.54))))-$A$281)/('Range Analysis'!J28/2),0,1,TRUE()))</f>
        <v>0.62935174766951929</v>
      </c>
      <c r="O281">
        <f>NORMDIST($A$281,0,'Range Analysis'!$F$8,FALSE())*(NORMDIST((('Range Analysis'!$F$6-IF('Range Analysis'!K29&lt;=0,0,'Range Analysis'!J29*MAX(0,1.04-EXP(0.38*LN('Range Analysis'!K29)-0.54))))-$A$281)/('Range Analysis'!J29/2),0,1,TRUE())-NORMDIST((-('Range Analysis'!$F$6-IF('Range Analysis'!K29&lt;=0,0,'Range Analysis'!J29*MAX(0,1.04-EXP(0.38*LN('Range Analysis'!K29)-0.54))))-$A$281)/('Range Analysis'!J29/2),0,1,TRUE()))</f>
        <v>0.16245811572686608</v>
      </c>
      <c r="P281">
        <f>NORMDIST($A$281,0,'Range Analysis'!$F$8,FALSE())*(NORMDIST((('Range Analysis'!$F$6-IF('Range Analysis'!K30&lt;=0,0,'Range Analysis'!J30*MAX(0,1.04-EXP(0.38*LN('Range Analysis'!K30)-0.54))))-$A$281)/('Range Analysis'!J30/2),0,1,TRUE())-NORMDIST((-('Range Analysis'!$F$6-IF('Range Analysis'!K30&lt;=0,0,'Range Analysis'!J30*MAX(0,1.04-EXP(0.38*LN('Range Analysis'!K30)-0.54))))-$A$281)/('Range Analysis'!J30/2),0,1,TRUE()))</f>
        <v>7.7512612632379477E-2</v>
      </c>
      <c r="Q281">
        <f>NORMDIST($A$281,0,'Range Analysis'!$F$8,FALSE())*(NORMDIST(('Range Analysis'!$F$6-$A$281)/('Range Analysis'!J24/2),0,1,TRUE())-NORMDIST((-'Range Analysis'!$F$6-$A$281)/('Range Analysis'!J24/2),0,1,TRUE()))</f>
        <v>0.50577325067308487</v>
      </c>
      <c r="R281">
        <f>NORMDIST($A$281,0,'Range Analysis'!$F$8,FALSE())*(NORMDIST(('Range Analysis'!$F$6-$A$281)/('Range Analysis'!J25/2),0,1,TRUE())-NORMDIST((-'Range Analysis'!$F$6-$A$281)/('Range Analysis'!J25/2),0,1,TRUE()))</f>
        <v>0.60185645087801187</v>
      </c>
      <c r="S281">
        <f>NORMDIST($A$281,0,'Range Analysis'!$F$8,FALSE())*(NORMDIST(('Range Analysis'!$F$6-$A$281)/('Range Analysis'!J26/2),0,1,TRUE())-NORMDIST((-'Range Analysis'!$F$6-$A$281)/('Range Analysis'!J26/2),0,1,TRUE()))</f>
        <v>0.60185645087801187</v>
      </c>
      <c r="T281">
        <f>NORMDIST($A$281,0,'Range Analysis'!$F$8,FALSE())*(NORMDIST(('Range Analysis'!$F$6-$A$281)/('Range Analysis'!J27/2),0,1,TRUE())-NORMDIST((-'Range Analysis'!$F$6-$A$281)/('Range Analysis'!J27/2),0,1,TRUE()))</f>
        <v>0.61668935181991824</v>
      </c>
      <c r="U281">
        <f>NORMDIST($A$281,0,'Range Analysis'!$F$8,FALSE())*(NORMDIST(('Range Analysis'!$F$6-$A$281)/('Range Analysis'!J28/2),0,1,TRUE())-NORMDIST((-'Range Analysis'!$F$6-$A$281)/('Range Analysis'!J28/2),0,1,TRUE()))</f>
        <v>0.62935174766951929</v>
      </c>
      <c r="V281">
        <f>NORMDIST($A$281,0,'Range Analysis'!$F$8,FALSE())*(NORMDIST(('Range Analysis'!$F$6-$A$281)/('Range Analysis'!J29/2),0,1,TRUE())-NORMDIST((-'Range Analysis'!$F$6-$A$281)/('Range Analysis'!J29/2),0,1,TRUE()))</f>
        <v>0.41764250118770541</v>
      </c>
      <c r="W281">
        <f>NORMDIST($A$281,0,'Range Analysis'!$F$8,FALSE())*(NORMDIST((('Range Analysis'!$F$6-0)-$A$281)/('Range Analysis'!J30/2),0,1,TRUE())-NORMDIST((-('Range Analysis'!$F$6-0)-$A$281)/('Range Analysis'!J30/2),0,1,TRUE()))</f>
        <v>0.3925504956868211</v>
      </c>
    </row>
    <row r="282" spans="1:23" ht="15" customHeight="1" x14ac:dyDescent="0.25">
      <c r="A282">
        <f>-'Range Analysis'!$F$6+6*$B$275</f>
        <v>-0.34615384615384615</v>
      </c>
      <c r="C282">
        <f>NORMDIST($A$282,0,'Range Analysis'!$F$8,FALSE())*(NORMDIST((('Range Analysis'!$F$6-0.98*'Range Analysis'!J24)-$A$282)/('Range Analysis'!J24/2),0,1,TRUE())-NORMDIST((-('Range Analysis'!$F$6-0.98*'Range Analysis'!J24)-$A$282)/('Range Analysis'!J24/2),0,1,TRUE()))</f>
        <v>0.12095729715132202</v>
      </c>
      <c r="D282">
        <f>NORMDIST($A$282,0,'Range Analysis'!$F$8,FALSE())*(NORMDIST((('Range Analysis'!$F$6-0.98*'Range Analysis'!J25)-$A$282)/('Range Analysis'!J25/2),0,1,TRUE())-NORMDIST((-('Range Analysis'!$F$6-0.98*'Range Analysis'!J25)-$A$282)/('Range Analysis'!J25/2),0,1,TRUE()))</f>
        <v>0.37084803776693642</v>
      </c>
      <c r="E282">
        <f>NORMDIST($A$282,0,'Range Analysis'!$F$8,FALSE())*(NORMDIST((('Range Analysis'!$F$6-0.98*'Range Analysis'!J26)-$A$282)/('Range Analysis'!J26/2),0,1,TRUE())-NORMDIST((-('Range Analysis'!$F$6-0.98*'Range Analysis'!J26)-$A$282)/('Range Analysis'!J26/2),0,1,TRUE()))</f>
        <v>0.37084803776693642</v>
      </c>
      <c r="F282">
        <f>NORMDIST($A$282,0,'Range Analysis'!$F$8,FALSE())*(NORMDIST((('Range Analysis'!$F$6-0.98*'Range Analysis'!J27)-$A$282)/('Range Analysis'!J27/2),0,1,TRUE())-NORMDIST((-('Range Analysis'!$F$6-0.98*'Range Analysis'!J27)-$A$282)/('Range Analysis'!J27/2),0,1,TRUE()))</f>
        <v>0.47845762050763829</v>
      </c>
      <c r="G282">
        <f>NORMDIST($A$282,0,'Range Analysis'!$F$8,FALSE())*(NORMDIST((('Range Analysis'!$F$6-0.98*'Range Analysis'!J28)-$A$282)/('Range Analysis'!J28/2),0,1,TRUE())-NORMDIST((-('Range Analysis'!$F$6-0.98*'Range Analysis'!J28)-$A$282)/('Range Analysis'!J28/2),0,1,TRUE()))</f>
        <v>0.69140885796740692</v>
      </c>
      <c r="H282">
        <f>NORMDIST($A$282,0,'Range Analysis'!$F$8,FALSE())*(NORMDIST((('Range Analysis'!$F$6-0.98*'Range Analysis'!J29)-$A$282)/('Range Analysis'!J29/2),0,1,TRUE())-NORMDIST((-('Range Analysis'!$F$6-0.98*'Range Analysis'!J29)-$A$282)/('Range Analysis'!J29/2),0,1,TRUE()))</f>
        <v>-8.3542849109756942E-2</v>
      </c>
      <c r="I282">
        <f>NORMDIST($A$282,0,'Range Analysis'!$F$8,FALSE())*(NORMDIST((('Range Analysis'!$F$6-0.98*'Range Analysis'!J30)-$A$282)/('Range Analysis'!J30/2),0,1,TRUE())-NORMDIST((-('Range Analysis'!$F$6-0.98*'Range Analysis'!J30)-$A$282)/('Range Analysis'!J30/2),0,1,TRUE()))</f>
        <v>-0.22322609364916096</v>
      </c>
      <c r="J282">
        <f>NORMDIST($A$282,0,'Range Analysis'!$F$8,FALSE())*(NORMDIST((('Range Analysis'!$F$6-IF('Range Analysis'!K24&lt;=0,0,'Range Analysis'!J24*MAX(0,1.04-EXP(0.38*LN('Range Analysis'!K24)-0.54))))-$A$282)/('Range Analysis'!J24/2),0,1,TRUE())-NORMDIST((-('Range Analysis'!$F$6-IF('Range Analysis'!K24&lt;=0,0,'Range Analysis'!J24*MAX(0,1.04-EXP(0.38*LN('Range Analysis'!K24)-0.54))))-$A$282)/('Range Analysis'!J24/2),0,1,TRUE()))</f>
        <v>0.44311375140070514</v>
      </c>
      <c r="K282">
        <f>NORMDIST($A$282,0,'Range Analysis'!$F$8,FALSE())*(NORMDIST((('Range Analysis'!$F$6-IF('Range Analysis'!K25&lt;=0,0,'Range Analysis'!J25*MAX(0,1.04-EXP(0.38*LN('Range Analysis'!K25)-0.54))))-$A$282)/('Range Analysis'!J25/2),0,1,TRUE())-NORMDIST((-('Range Analysis'!$F$6-IF('Range Analysis'!K25&lt;=0,0,'Range Analysis'!J25*MAX(0,1.04-EXP(0.38*LN('Range Analysis'!K25)-0.54))))-$A$282)/('Range Analysis'!J25/2),0,1,TRUE()))</f>
        <v>0.66726356761060479</v>
      </c>
      <c r="L282">
        <f>NORMDIST($A$282,0,'Range Analysis'!$F$8,FALSE())*(NORMDIST((('Range Analysis'!$F$6-IF('Range Analysis'!K26&lt;=0,0,'Range Analysis'!J26*MAX(0,1.04-EXP(0.38*LN('Range Analysis'!K26)-0.54))))-$A$282)/('Range Analysis'!J26/2),0,1,TRUE())-NORMDIST((-('Range Analysis'!$F$6-IF('Range Analysis'!K26&lt;=0,0,'Range Analysis'!J26*MAX(0,1.04-EXP(0.38*LN('Range Analysis'!K26)-0.54))))-$A$282)/('Range Analysis'!J26/2),0,1,TRUE()))</f>
        <v>0.66726356761060479</v>
      </c>
      <c r="M282">
        <f>NORMDIST($A$282,0,'Range Analysis'!$F$8,FALSE())*(NORMDIST((('Range Analysis'!$F$6-IF('Range Analysis'!K27&lt;=0,0,'Range Analysis'!J27*MAX(0,1.04-EXP(0.38*LN('Range Analysis'!K27)-0.54))))-$A$282)/('Range Analysis'!J27/2),0,1,TRUE())-NORMDIST((-('Range Analysis'!$F$6-IF('Range Analysis'!K27&lt;=0,0,'Range Analysis'!J27*MAX(0,1.04-EXP(0.38*LN('Range Analysis'!K27)-0.54))))-$A$282)/('Range Analysis'!J27/2),0,1,TRUE()))</f>
        <v>0.68501057321150916</v>
      </c>
      <c r="N282">
        <f>NORMDIST($A$282,0,'Range Analysis'!$F$8,FALSE())*(NORMDIST((('Range Analysis'!$F$6-IF('Range Analysis'!K28&lt;=0,0,'Range Analysis'!J28*MAX(0,1.04-EXP(0.38*LN('Range Analysis'!K28)-0.54))))-$A$282)/('Range Analysis'!J28/2),0,1,TRUE())-NORMDIST((-('Range Analysis'!$F$6-IF('Range Analysis'!K28&lt;=0,0,'Range Analysis'!J28*MAX(0,1.04-EXP(0.38*LN('Range Analysis'!K28)-0.54))))-$A$282)/('Range Analysis'!J28/2),0,1,TRUE()))</f>
        <v>0.69140885796740692</v>
      </c>
      <c r="O282">
        <f>NORMDIST($A$282,0,'Range Analysis'!$F$8,FALSE())*(NORMDIST((('Range Analysis'!$F$6-IF('Range Analysis'!K29&lt;=0,0,'Range Analysis'!J29*MAX(0,1.04-EXP(0.38*LN('Range Analysis'!K29)-0.54))))-$A$282)/('Range Analysis'!J29/2),0,1,TRUE())-NORMDIST((-('Range Analysis'!$F$6-IF('Range Analysis'!K29&lt;=0,0,'Range Analysis'!J29*MAX(0,1.04-EXP(0.38*LN('Range Analysis'!K29)-0.54))))-$A$282)/('Range Analysis'!J29/2),0,1,TRUE()))</f>
        <v>0.1949400445632907</v>
      </c>
      <c r="P282">
        <f>NORMDIST($A$282,0,'Range Analysis'!$F$8,FALSE())*(NORMDIST((('Range Analysis'!$F$6-IF('Range Analysis'!K30&lt;=0,0,'Range Analysis'!J30*MAX(0,1.04-EXP(0.38*LN('Range Analysis'!K30)-0.54))))-$A$282)/('Range Analysis'!J30/2),0,1,TRUE())-NORMDIST((-('Range Analysis'!$F$6-IF('Range Analysis'!K30&lt;=0,0,'Range Analysis'!J30*MAX(0,1.04-EXP(0.38*LN('Range Analysis'!K30)-0.54))))-$A$282)/('Range Analysis'!J30/2),0,1,TRUE()))</f>
        <v>9.0791235168806925E-2</v>
      </c>
      <c r="Q282">
        <f>NORMDIST($A$282,0,'Range Analysis'!$F$8,FALSE())*(NORMDIST(('Range Analysis'!$F$6-$A$282)/('Range Analysis'!J24/2),0,1,TRUE())-NORMDIST((-'Range Analysis'!$F$6-$A$282)/('Range Analysis'!J24/2),0,1,TRUE()))</f>
        <v>0.58594797484135286</v>
      </c>
      <c r="R282">
        <f>NORMDIST($A$282,0,'Range Analysis'!$F$8,FALSE())*(NORMDIST(('Range Analysis'!$F$6-$A$282)/('Range Analysis'!J25/2),0,1,TRUE())-NORMDIST((-'Range Analysis'!$F$6-$A$282)/('Range Analysis'!J25/2),0,1,TRUE()))</f>
        <v>0.6774978889649006</v>
      </c>
      <c r="S282">
        <f>NORMDIST($A$282,0,'Range Analysis'!$F$8,FALSE())*(NORMDIST(('Range Analysis'!$F$6-$A$282)/('Range Analysis'!J26/2),0,1,TRUE())-NORMDIST((-'Range Analysis'!$F$6-$A$282)/('Range Analysis'!J26/2),0,1,TRUE()))</f>
        <v>0.6774978889649006</v>
      </c>
      <c r="T282">
        <f>NORMDIST($A$282,0,'Range Analysis'!$F$8,FALSE())*(NORMDIST(('Range Analysis'!$F$6-$A$282)/('Range Analysis'!J27/2),0,1,TRUE())-NORMDIST((-'Range Analysis'!$F$6-$A$282)/('Range Analysis'!J27/2),0,1,TRUE()))</f>
        <v>0.68662629426317123</v>
      </c>
      <c r="U282">
        <f>NORMDIST($A$282,0,'Range Analysis'!$F$8,FALSE())*(NORMDIST(('Range Analysis'!$F$6-$A$282)/('Range Analysis'!J28/2),0,1,TRUE())-NORMDIST((-'Range Analysis'!$F$6-$A$282)/('Range Analysis'!J28/2),0,1,TRUE()))</f>
        <v>0.69140885796740692</v>
      </c>
      <c r="V282">
        <f>NORMDIST($A$282,0,'Range Analysis'!$F$8,FALSE())*(NORMDIST(('Range Analysis'!$F$6-$A$282)/('Range Analysis'!J29/2),0,1,TRUE())-NORMDIST((-'Range Analysis'!$F$6-$A$282)/('Range Analysis'!J29/2),0,1,TRUE()))</f>
        <v>0.47953644001551665</v>
      </c>
      <c r="W282">
        <f>NORMDIST($A$282,0,'Range Analysis'!$F$8,FALSE())*(NORMDIST((('Range Analysis'!$F$6-0)-$A$282)/('Range Analysis'!J30/2),0,1,TRUE())-NORMDIST((-('Range Analysis'!$F$6-0)-$A$282)/('Range Analysis'!J30/2),0,1,TRUE()))</f>
        <v>0.44745809773681205</v>
      </c>
    </row>
    <row r="283" spans="1:23" ht="15" customHeight="1" x14ac:dyDescent="0.25">
      <c r="A283">
        <f>-'Range Analysis'!$F$6+7*$B$275</f>
        <v>-0.32051282051282048</v>
      </c>
      <c r="C283">
        <f>NORMDIST($A$283,0,'Range Analysis'!$F$8,FALSE())*(NORMDIST((('Range Analysis'!$F$6-0.98*'Range Analysis'!J24)-$A$283)/('Range Analysis'!J24/2),0,1,TRUE())-NORMDIST((-('Range Analysis'!$F$6-0.98*'Range Analysis'!J24)-$A$283)/('Range Analysis'!J24/2),0,1,TRUE()))</f>
        <v>0.16778784045935236</v>
      </c>
      <c r="D283">
        <f>NORMDIST($A$283,0,'Range Analysis'!$F$8,FALSE())*(NORMDIST((('Range Analysis'!$F$6-0.98*'Range Analysis'!J25)-$A$283)/('Range Analysis'!J25/2),0,1,TRUE())-NORMDIST((-('Range Analysis'!$F$6-0.98*'Range Analysis'!J25)-$A$283)/('Range Analysis'!J25/2),0,1,TRUE()))</f>
        <v>0.50366761581546238</v>
      </c>
      <c r="E283">
        <f>NORMDIST($A$283,0,'Range Analysis'!$F$8,FALSE())*(NORMDIST((('Range Analysis'!$F$6-0.98*'Range Analysis'!J26)-$A$283)/('Range Analysis'!J26/2),0,1,TRUE())-NORMDIST((-('Range Analysis'!$F$6-0.98*'Range Analysis'!J26)-$A$283)/('Range Analysis'!J26/2),0,1,TRUE()))</f>
        <v>0.50366761581546238</v>
      </c>
      <c r="F283">
        <f>NORMDIST($A$283,0,'Range Analysis'!$F$8,FALSE())*(NORMDIST((('Range Analysis'!$F$6-0.98*'Range Analysis'!J27)-$A$283)/('Range Analysis'!J27/2),0,1,TRUE())-NORMDIST((-('Range Analysis'!$F$6-0.98*'Range Analysis'!J27)-$A$283)/('Range Analysis'!J27/2),0,1,TRUE()))</f>
        <v>0.61798192841715183</v>
      </c>
      <c r="G283">
        <f>NORMDIST($A$283,0,'Range Analysis'!$F$8,FALSE())*(NORMDIST((('Range Analysis'!$F$6-0.98*'Range Analysis'!J28)-$A$283)/('Range Analysis'!J28/2),0,1,TRUE())-NORMDIST((-('Range Analysis'!$F$6-0.98*'Range Analysis'!J28)-$A$283)/('Range Analysis'!J28/2),0,1,TRUE()))</f>
        <v>0.75449989919297888</v>
      </c>
      <c r="H283">
        <f>NORMDIST($A$283,0,'Range Analysis'!$F$8,FALSE())*(NORMDIST((('Range Analysis'!$F$6-0.98*'Range Analysis'!J29)-$A$283)/('Range Analysis'!J29/2),0,1,TRUE())-NORMDIST((-('Range Analysis'!$F$6-0.98*'Range Analysis'!J29)-$A$283)/('Range Analysis'!J29/2),0,1,TRUE()))</f>
        <v>-9.9980590461662369E-2</v>
      </c>
      <c r="I283">
        <f>NORMDIST($A$283,0,'Range Analysis'!$F$8,FALSE())*(NORMDIST((('Range Analysis'!$F$6-0.98*'Range Analysis'!J30)-$A$283)/('Range Analysis'!J30/2),0,1,TRUE())-NORMDIST((-('Range Analysis'!$F$6-0.98*'Range Analysis'!J30)-$A$283)/('Range Analysis'!J30/2),0,1,TRUE()))</f>
        <v>-0.25694908959254348</v>
      </c>
      <c r="J283">
        <f>NORMDIST($A$283,0,'Range Analysis'!$F$8,FALSE())*(NORMDIST((('Range Analysis'!$F$6-IF('Range Analysis'!K24&lt;=0,0,'Range Analysis'!J24*MAX(0,1.04-EXP(0.38*LN('Range Analysis'!K24)-0.54))))-$A$283)/('Range Analysis'!J24/2),0,1,TRUE())-NORMDIST((-('Range Analysis'!$F$6-IF('Range Analysis'!K24&lt;=0,0,'Range Analysis'!J24*MAX(0,1.04-EXP(0.38*LN('Range Analysis'!K24)-0.54))))-$A$283)/('Range Analysis'!J24/2),0,1,TRUE()))</f>
        <v>0.53007811315177522</v>
      </c>
      <c r="K283">
        <f>NORMDIST($A$283,0,'Range Analysis'!$F$8,FALSE())*(NORMDIST((('Range Analysis'!$F$6-IF('Range Analysis'!K25&lt;=0,0,'Range Analysis'!J25*MAX(0,1.04-EXP(0.38*LN('Range Analysis'!K25)-0.54))))-$A$283)/('Range Analysis'!J25/2),0,1,TRUE())-NORMDIST((-('Range Analysis'!$F$6-IF('Range Analysis'!K25&lt;=0,0,'Range Analysis'!J25*MAX(0,1.04-EXP(0.38*LN('Range Analysis'!K25)-0.54))))-$A$283)/('Range Analysis'!J25/2),0,1,TRUE()))</f>
        <v>0.74273828397064889</v>
      </c>
      <c r="L283">
        <f>NORMDIST($A$283,0,'Range Analysis'!$F$8,FALSE())*(NORMDIST((('Range Analysis'!$F$6-IF('Range Analysis'!K26&lt;=0,0,'Range Analysis'!J26*MAX(0,1.04-EXP(0.38*LN('Range Analysis'!K26)-0.54))))-$A$283)/('Range Analysis'!J26/2),0,1,TRUE())-NORMDIST((-('Range Analysis'!$F$6-IF('Range Analysis'!K26&lt;=0,0,'Range Analysis'!J26*MAX(0,1.04-EXP(0.38*LN('Range Analysis'!K26)-0.54))))-$A$283)/('Range Analysis'!J26/2),0,1,TRUE()))</f>
        <v>0.74273828397064889</v>
      </c>
      <c r="M283">
        <f>NORMDIST($A$283,0,'Range Analysis'!$F$8,FALSE())*(NORMDIST((('Range Analysis'!$F$6-IF('Range Analysis'!K27&lt;=0,0,'Range Analysis'!J27*MAX(0,1.04-EXP(0.38*LN('Range Analysis'!K27)-0.54))))-$A$283)/('Range Analysis'!J27/2),0,1,TRUE())-NORMDIST((-('Range Analysis'!$F$6-IF('Range Analysis'!K27&lt;=0,0,'Range Analysis'!J27*MAX(0,1.04-EXP(0.38*LN('Range Analysis'!K27)-0.54))))-$A$283)/('Range Analysis'!J27/2),0,1,TRUE()))</f>
        <v>0.75235611991388618</v>
      </c>
      <c r="N283">
        <f>NORMDIST($A$283,0,'Range Analysis'!$F$8,FALSE())*(NORMDIST((('Range Analysis'!$F$6-IF('Range Analysis'!K28&lt;=0,0,'Range Analysis'!J28*MAX(0,1.04-EXP(0.38*LN('Range Analysis'!K28)-0.54))))-$A$283)/('Range Analysis'!J28/2),0,1,TRUE())-NORMDIST((-('Range Analysis'!$F$6-IF('Range Analysis'!K28&lt;=0,0,'Range Analysis'!J28*MAX(0,1.04-EXP(0.38*LN('Range Analysis'!K28)-0.54))))-$A$283)/('Range Analysis'!J28/2),0,1,TRUE()))</f>
        <v>0.75449989919297888</v>
      </c>
      <c r="O283">
        <f>NORMDIST($A$283,0,'Range Analysis'!$F$8,FALSE())*(NORMDIST((('Range Analysis'!$F$6-IF('Range Analysis'!K29&lt;=0,0,'Range Analysis'!J29*MAX(0,1.04-EXP(0.38*LN('Range Analysis'!K29)-0.54))))-$A$283)/('Range Analysis'!J29/2),0,1,TRUE())-NORMDIST((-('Range Analysis'!$F$6-IF('Range Analysis'!K29&lt;=0,0,'Range Analysis'!J29*MAX(0,1.04-EXP(0.38*LN('Range Analysis'!K29)-0.54))))-$A$283)/('Range Analysis'!J29/2),0,1,TRUE()))</f>
        <v>0.23087566617608571</v>
      </c>
      <c r="P283">
        <f>NORMDIST($A$283,0,'Range Analysis'!$F$8,FALSE())*(NORMDIST((('Range Analysis'!$F$6-IF('Range Analysis'!K30&lt;=0,0,'Range Analysis'!J30*MAX(0,1.04-EXP(0.38*LN('Range Analysis'!K30)-0.54))))-$A$283)/('Range Analysis'!J30/2),0,1,TRUE())-NORMDIST((-('Range Analysis'!$F$6-IF('Range Analysis'!K30&lt;=0,0,'Range Analysis'!J30*MAX(0,1.04-EXP(0.38*LN('Range Analysis'!K30)-0.54))))-$A$283)/('Range Analysis'!J30/2),0,1,TRUE()))</f>
        <v>0.10515019262191026</v>
      </c>
      <c r="Q283">
        <f>NORMDIST($A$283,0,'Range Analysis'!$F$8,FALSE())*(NORMDIST(('Range Analysis'!$F$6-$A$283)/('Range Analysis'!J24/2),0,1,TRUE())-NORMDIST((-'Range Analysis'!$F$6-$A$283)/('Range Analysis'!J24/2),0,1,TRUE()))</f>
        <v>0.66717789935306637</v>
      </c>
      <c r="R283">
        <f>NORMDIST($A$283,0,'Range Analysis'!$F$8,FALSE())*(NORMDIST(('Range Analysis'!$F$6-$A$283)/('Range Analysis'!J25/2),0,1,TRUE())-NORMDIST((-'Range Analysis'!$F$6-$A$283)/('Range Analysis'!J25/2),0,1,TRUE()))</f>
        <v>0.74819837411535417</v>
      </c>
      <c r="S283">
        <f>NORMDIST($A$283,0,'Range Analysis'!$F$8,FALSE())*(NORMDIST(('Range Analysis'!$F$6-$A$283)/('Range Analysis'!J26/2),0,1,TRUE())-NORMDIST((-'Range Analysis'!$F$6-$A$283)/('Range Analysis'!J26/2),0,1,TRUE()))</f>
        <v>0.74819837411535417</v>
      </c>
      <c r="T283">
        <f>NORMDIST($A$283,0,'Range Analysis'!$F$8,FALSE())*(NORMDIST(('Range Analysis'!$F$6-$A$283)/('Range Analysis'!J27/2),0,1,TRUE())-NORMDIST((-'Range Analysis'!$F$6-$A$283)/('Range Analysis'!J27/2),0,1,TRUE()))</f>
        <v>0.75296016180526315</v>
      </c>
      <c r="U283">
        <f>NORMDIST($A$283,0,'Range Analysis'!$F$8,FALSE())*(NORMDIST(('Range Analysis'!$F$6-$A$283)/('Range Analysis'!J28/2),0,1,TRUE())-NORMDIST((-'Range Analysis'!$F$6-$A$283)/('Range Analysis'!J28/2),0,1,TRUE()))</f>
        <v>0.75449989919297888</v>
      </c>
      <c r="V283">
        <f>NORMDIST($A$283,0,'Range Analysis'!$F$8,FALSE())*(NORMDIST(('Range Analysis'!$F$6-$A$283)/('Range Analysis'!J29/2),0,1,TRUE())-NORMDIST((-'Range Analysis'!$F$6-$A$283)/('Range Analysis'!J29/2),0,1,TRUE()))</f>
        <v>0.54479296490079432</v>
      </c>
      <c r="W283">
        <f>NORMDIST($A$283,0,'Range Analysis'!$F$8,FALSE())*(NORMDIST((('Range Analysis'!$F$6-0)-$A$283)/('Range Analysis'!J30/2),0,1,TRUE())-NORMDIST((-('Range Analysis'!$F$6-0)-$A$283)/('Range Analysis'!J30/2),0,1,TRUE()))</f>
        <v>0.50518777349683919</v>
      </c>
    </row>
    <row r="284" spans="1:23" ht="15" customHeight="1" x14ac:dyDescent="0.25">
      <c r="A284">
        <f>-'Range Analysis'!$F$6+8*$B$275</f>
        <v>-0.29487179487179488</v>
      </c>
      <c r="C284">
        <f>NORMDIST($A$284,0,'Range Analysis'!$F$8,FALSE())*(NORMDIST((('Range Analysis'!$F$6-0.98*'Range Analysis'!J24)-$A$284)/('Range Analysis'!J24/2),0,1,TRUE())-NORMDIST((-('Range Analysis'!$F$6-0.98*'Range Analysis'!J24)-$A$284)/('Range Analysis'!J24/2),0,1,TRUE()))</f>
        <v>0.22600476984338047</v>
      </c>
      <c r="D284">
        <f>NORMDIST($A$284,0,'Range Analysis'!$F$8,FALSE())*(NORMDIST((('Range Analysis'!$F$6-0.98*'Range Analysis'!J25)-$A$284)/('Range Analysis'!J25/2),0,1,TRUE())-NORMDIST((-('Range Analysis'!$F$6-0.98*'Range Analysis'!J25)-$A$284)/('Range Analysis'!J25/2),0,1,TRUE()))</f>
        <v>0.63860128951845463</v>
      </c>
      <c r="E284">
        <f>NORMDIST($A$284,0,'Range Analysis'!$F$8,FALSE())*(NORMDIST((('Range Analysis'!$F$6-0.98*'Range Analysis'!J26)-$A$284)/('Range Analysis'!J26/2),0,1,TRUE())-NORMDIST((-('Range Analysis'!$F$6-0.98*'Range Analysis'!J26)-$A$284)/('Range Analysis'!J26/2),0,1,TRUE()))</f>
        <v>0.63860128951845463</v>
      </c>
      <c r="F284">
        <f>NORMDIST($A$284,0,'Range Analysis'!$F$8,FALSE())*(NORMDIST((('Range Analysis'!$F$6-0.98*'Range Analysis'!J27)-$A$284)/('Range Analysis'!J27/2),0,1,TRUE())-NORMDIST((-('Range Analysis'!$F$6-0.98*'Range Analysis'!J27)-$A$284)/('Range Analysis'!J27/2),0,1,TRUE()))</f>
        <v>0.74171540564547844</v>
      </c>
      <c r="G284">
        <f>NORMDIST($A$284,0,'Range Analysis'!$F$8,FALSE())*(NORMDIST((('Range Analysis'!$F$6-0.98*'Range Analysis'!J28)-$A$284)/('Range Analysis'!J28/2),0,1,TRUE())-NORMDIST((-('Range Analysis'!$F$6-0.98*'Range Analysis'!J28)-$A$284)/('Range Analysis'!J28/2),0,1,TRUE()))</f>
        <v>0.81783592380963932</v>
      </c>
      <c r="H284">
        <f>NORMDIST($A$284,0,'Range Analysis'!$F$8,FALSE())*(NORMDIST((('Range Analysis'!$F$6-0.98*'Range Analysis'!J29)-$A$284)/('Range Analysis'!J29/2),0,1,TRUE())-NORMDIST((-('Range Analysis'!$F$6-0.98*'Range Analysis'!J29)-$A$284)/('Range Analysis'!J29/2),0,1,TRUE()))</f>
        <v>-0.11801046784264768</v>
      </c>
      <c r="I284">
        <f>NORMDIST($A$284,0,'Range Analysis'!$F$8,FALSE())*(NORMDIST((('Range Analysis'!$F$6-0.98*'Range Analysis'!J30)-$A$284)/('Range Analysis'!J30/2),0,1,TRUE())-NORMDIST((-('Range Analysis'!$F$6-0.98*'Range Analysis'!J30)-$A$284)/('Range Analysis'!J30/2),0,1,TRUE()))</f>
        <v>-0.29257759422771112</v>
      </c>
      <c r="J284">
        <f>NORMDIST($A$284,0,'Range Analysis'!$F$8,FALSE())*(NORMDIST((('Range Analysis'!$F$6-IF('Range Analysis'!K24&lt;=0,0,'Range Analysis'!J24*MAX(0,1.04-EXP(0.38*LN('Range Analysis'!K24)-0.54))))-$A$284)/('Range Analysis'!J24/2),0,1,TRUE())-NORMDIST((-('Range Analysis'!$F$6-IF('Range Analysis'!K24&lt;=0,0,'Range Analysis'!J24*MAX(0,1.04-EXP(0.38*LN('Range Analysis'!K24)-0.54))))-$A$284)/('Range Analysis'!J24/2),0,1,TRUE()))</f>
        <v>0.62063860470887822</v>
      </c>
      <c r="K284">
        <f>NORMDIST($A$284,0,'Range Analysis'!$F$8,FALSE())*(NORMDIST((('Range Analysis'!$F$6-IF('Range Analysis'!K25&lt;=0,0,'Range Analysis'!J25*MAX(0,1.04-EXP(0.38*LN('Range Analysis'!K25)-0.54))))-$A$284)/('Range Analysis'!J25/2),0,1,TRUE())-NORMDIST((-('Range Analysis'!$F$6-IF('Range Analysis'!K25&lt;=0,0,'Range Analysis'!J25*MAX(0,1.04-EXP(0.38*LN('Range Analysis'!K25)-0.54))))-$A$284)/('Range Analysis'!J25/2),0,1,TRUE()))</f>
        <v>0.8127096946604736</v>
      </c>
      <c r="L284">
        <f>NORMDIST($A$284,0,'Range Analysis'!$F$8,FALSE())*(NORMDIST((('Range Analysis'!$F$6-IF('Range Analysis'!K26&lt;=0,0,'Range Analysis'!J26*MAX(0,1.04-EXP(0.38*LN('Range Analysis'!K26)-0.54))))-$A$284)/('Range Analysis'!J26/2),0,1,TRUE())-NORMDIST((-('Range Analysis'!$F$6-IF('Range Analysis'!K26&lt;=0,0,'Range Analysis'!J26*MAX(0,1.04-EXP(0.38*LN('Range Analysis'!K26)-0.54))))-$A$284)/('Range Analysis'!J26/2),0,1,TRUE()))</f>
        <v>0.8127096946604736</v>
      </c>
      <c r="M284">
        <f>NORMDIST($A$284,0,'Range Analysis'!$F$8,FALSE())*(NORMDIST((('Range Analysis'!$F$6-IF('Range Analysis'!K27&lt;=0,0,'Range Analysis'!J27*MAX(0,1.04-EXP(0.38*LN('Range Analysis'!K27)-0.54))))-$A$284)/('Range Analysis'!J27/2),0,1,TRUE())-NORMDIST((-('Range Analysis'!$F$6-IF('Range Analysis'!K27&lt;=0,0,'Range Analysis'!J27*MAX(0,1.04-EXP(0.38*LN('Range Analysis'!K27)-0.54))))-$A$284)/('Range Analysis'!J27/2),0,1,TRUE()))</f>
        <v>0.81722492081315912</v>
      </c>
      <c r="N284">
        <f>NORMDIST($A$284,0,'Range Analysis'!$F$8,FALSE())*(NORMDIST((('Range Analysis'!$F$6-IF('Range Analysis'!K28&lt;=0,0,'Range Analysis'!J28*MAX(0,1.04-EXP(0.38*LN('Range Analysis'!K28)-0.54))))-$A$284)/('Range Analysis'!J28/2),0,1,TRUE())-NORMDIST((-('Range Analysis'!$F$6-IF('Range Analysis'!K28&lt;=0,0,'Range Analysis'!J28*MAX(0,1.04-EXP(0.38*LN('Range Analysis'!K28)-0.54))))-$A$284)/('Range Analysis'!J28/2),0,1,TRUE()))</f>
        <v>0.81783592380963932</v>
      </c>
      <c r="O284">
        <f>NORMDIST($A$284,0,'Range Analysis'!$F$8,FALSE())*(NORMDIST((('Range Analysis'!$F$6-IF('Range Analysis'!K29&lt;=0,0,'Range Analysis'!J29*MAX(0,1.04-EXP(0.38*LN('Range Analysis'!K29)-0.54))))-$A$284)/('Range Analysis'!J29/2),0,1,TRUE())-NORMDIST((-('Range Analysis'!$F$6-IF('Range Analysis'!K29&lt;=0,0,'Range Analysis'!J29*MAX(0,1.04-EXP(0.38*LN('Range Analysis'!K29)-0.54))))-$A$284)/('Range Analysis'!J29/2),0,1,TRUE()))</f>
        <v>0.26988494426960347</v>
      </c>
      <c r="P284">
        <f>NORMDIST($A$284,0,'Range Analysis'!$F$8,FALSE())*(NORMDIST((('Range Analysis'!$F$6-IF('Range Analysis'!K30&lt;=0,0,'Range Analysis'!J30*MAX(0,1.04-EXP(0.38*LN('Range Analysis'!K30)-0.54))))-$A$284)/('Range Analysis'!J30/2),0,1,TRUE())-NORMDIST((-('Range Analysis'!$F$6-IF('Range Analysis'!K30&lt;=0,0,'Range Analysis'!J30*MAX(0,1.04-EXP(0.38*LN('Range Analysis'!K30)-0.54))))-$A$284)/('Range Analysis'!J30/2),0,1,TRUE()))</f>
        <v>0.12041230885355028</v>
      </c>
      <c r="Q284">
        <f>NORMDIST($A$284,0,'Range Analysis'!$F$8,FALSE())*(NORMDIST(('Range Analysis'!$F$6-$A$284)/('Range Analysis'!J24/2),0,1,TRUE())-NORMDIST((-'Range Analysis'!$F$6-$A$284)/('Range Analysis'!J24/2),0,1,TRUE()))</f>
        <v>0.74772200737381744</v>
      </c>
      <c r="R284">
        <f>NORMDIST($A$284,0,'Range Analysis'!$F$8,FALSE())*(NORMDIST(('Range Analysis'!$F$6-$A$284)/('Range Analysis'!J25/2),0,1,TRUE())-NORMDIST((-'Range Analysis'!$F$6-$A$284)/('Range Analysis'!J25/2),0,1,TRUE()))</f>
        <v>0.81528541342468508</v>
      </c>
      <c r="S284">
        <f>NORMDIST($A$284,0,'Range Analysis'!$F$8,FALSE())*(NORMDIST(('Range Analysis'!$F$6-$A$284)/('Range Analysis'!J26/2),0,1,TRUE())-NORMDIST((-'Range Analysis'!$F$6-$A$284)/('Range Analysis'!J26/2),0,1,TRUE()))</f>
        <v>0.81528541342468508</v>
      </c>
      <c r="T284">
        <f>NORMDIST($A$284,0,'Range Analysis'!$F$8,FALSE())*(NORMDIST(('Range Analysis'!$F$6-$A$284)/('Range Analysis'!J27/2),0,1,TRUE())-NORMDIST((-'Range Analysis'!$F$6-$A$284)/('Range Analysis'!J27/2),0,1,TRUE()))</f>
        <v>0.8174145139719341</v>
      </c>
      <c r="U284">
        <f>NORMDIST($A$284,0,'Range Analysis'!$F$8,FALSE())*(NORMDIST(('Range Analysis'!$F$6-$A$284)/('Range Analysis'!J28/2),0,1,TRUE())-NORMDIST((-'Range Analysis'!$F$6-$A$284)/('Range Analysis'!J28/2),0,1,TRUE()))</f>
        <v>0.81783592380963932</v>
      </c>
      <c r="V284">
        <f>NORMDIST($A$284,0,'Range Analysis'!$F$8,FALSE())*(NORMDIST(('Range Analysis'!$F$6-$A$284)/('Range Analysis'!J29/2),0,1,TRUE())-NORMDIST((-'Range Analysis'!$F$6-$A$284)/('Range Analysis'!J29/2),0,1,TRUE()))</f>
        <v>0.61248318671194246</v>
      </c>
      <c r="W284">
        <f>NORMDIST($A$284,0,'Range Analysis'!$F$8,FALSE())*(NORMDIST((('Range Analysis'!$F$6-0)-$A$284)/('Range Analysis'!J30/2),0,1,TRUE())-NORMDIST((-('Range Analysis'!$F$6-0)-$A$284)/('Range Analysis'!J30/2),0,1,TRUE()))</f>
        <v>0.56495788808985448</v>
      </c>
    </row>
    <row r="285" spans="1:23" ht="15" customHeight="1" x14ac:dyDescent="0.25">
      <c r="A285">
        <f>-'Range Analysis'!$F$6+9*$B$275</f>
        <v>-0.26923076923076927</v>
      </c>
      <c r="C285">
        <f>NORMDIST($A$285,0,'Range Analysis'!$F$8,FALSE())*(NORMDIST((('Range Analysis'!$F$6-0.98*'Range Analysis'!J24)-$A$285)/('Range Analysis'!J24/2),0,1,TRUE())-NORMDIST((-('Range Analysis'!$F$6-0.98*'Range Analysis'!J24)-$A$285)/('Range Analysis'!J24/2),0,1,TRUE()))</f>
        <v>0.29579041678996659</v>
      </c>
      <c r="D285">
        <f>NORMDIST($A$285,0,'Range Analysis'!$F$8,FALSE())*(NORMDIST((('Range Analysis'!$F$6-0.98*'Range Analysis'!J25)-$A$285)/('Range Analysis'!J25/2),0,1,TRUE())-NORMDIST((-('Range Analysis'!$F$6-0.98*'Range Analysis'!J25)-$A$285)/('Range Analysis'!J25/2),0,1,TRUE()))</f>
        <v>0.76430877711057132</v>
      </c>
      <c r="E285">
        <f>NORMDIST($A$285,0,'Range Analysis'!$F$8,FALSE())*(NORMDIST((('Range Analysis'!$F$6-0.98*'Range Analysis'!J26)-$A$285)/('Range Analysis'!J26/2),0,1,TRUE())-NORMDIST((-('Range Analysis'!$F$6-0.98*'Range Analysis'!J26)-$A$285)/('Range Analysis'!J26/2),0,1,TRUE()))</f>
        <v>0.76430877711057132</v>
      </c>
      <c r="F285">
        <f>NORMDIST($A$285,0,'Range Analysis'!$F$8,FALSE())*(NORMDIST((('Range Analysis'!$F$6-0.98*'Range Analysis'!J27)-$A$285)/('Range Analysis'!J27/2),0,1,TRUE())-NORMDIST((-('Range Analysis'!$F$6-0.98*'Range Analysis'!J27)-$A$285)/('Range Analysis'!J27/2),0,1,TRUE()))</f>
        <v>0.84391455573476082</v>
      </c>
      <c r="G285">
        <f>NORMDIST($A$285,0,'Range Analysis'!$F$8,FALSE())*(NORMDIST((('Range Analysis'!$F$6-0.98*'Range Analysis'!J28)-$A$285)/('Range Analysis'!J28/2),0,1,TRUE())-NORMDIST((-('Range Analysis'!$F$6-0.98*'Range Analysis'!J28)-$A$285)/('Range Analysis'!J28/2),0,1,TRUE()))</f>
        <v>0.88055387093631587</v>
      </c>
      <c r="H285">
        <f>NORMDIST($A$285,0,'Range Analysis'!$F$8,FALSE())*(NORMDIST((('Range Analysis'!$F$6-0.98*'Range Analysis'!J29)-$A$285)/('Range Analysis'!J29/2),0,1,TRUE())-NORMDIST((-('Range Analysis'!$F$6-0.98*'Range Analysis'!J29)-$A$285)/('Range Analysis'!J29/2),0,1,TRUE()))</f>
        <v>-0.13738016856697113</v>
      </c>
      <c r="I285">
        <f>NORMDIST($A$285,0,'Range Analysis'!$F$8,FALSE())*(NORMDIST((('Range Analysis'!$F$6-0.98*'Range Analysis'!J30)-$A$285)/('Range Analysis'!J30/2),0,1,TRUE())-NORMDIST((-('Range Analysis'!$F$6-0.98*'Range Analysis'!J30)-$A$285)/('Range Analysis'!J30/2),0,1,TRUE()))</f>
        <v>-0.32955565451146673</v>
      </c>
      <c r="J285">
        <f>NORMDIST($A$285,0,'Range Analysis'!$F$8,FALSE())*(NORMDIST((('Range Analysis'!$F$6-IF('Range Analysis'!K24&lt;=0,0,'Range Analysis'!J24*MAX(0,1.04-EXP(0.38*LN('Range Analysis'!K24)-0.54))))-$A$285)/('Range Analysis'!J24/2),0,1,TRUE())-NORMDIST((-('Range Analysis'!$F$6-IF('Range Analysis'!K24&lt;=0,0,'Range Analysis'!J24*MAX(0,1.04-EXP(0.38*LN('Range Analysis'!K24)-0.54))))-$A$285)/('Range Analysis'!J24/2),0,1,TRUE()))</f>
        <v>0.71222792491603715</v>
      </c>
      <c r="K285">
        <f>NORMDIST($A$285,0,'Range Analysis'!$F$8,FALSE())*(NORMDIST((('Range Analysis'!$F$6-IF('Range Analysis'!K25&lt;=0,0,'Range Analysis'!J25*MAX(0,1.04-EXP(0.38*LN('Range Analysis'!K25)-0.54))))-$A$285)/('Range Analysis'!J25/2),0,1,TRUE())-NORMDIST((-('Range Analysis'!$F$6-IF('Range Analysis'!K25&lt;=0,0,'Range Analysis'!J25*MAX(0,1.04-EXP(0.38*LN('Range Analysis'!K25)-0.54))))-$A$285)/('Range Analysis'!J25/2),0,1,TRUE()))</f>
        <v>0.87855866505910885</v>
      </c>
      <c r="L285">
        <f>NORMDIST($A$285,0,'Range Analysis'!$F$8,FALSE())*(NORMDIST((('Range Analysis'!$F$6-IF('Range Analysis'!K26&lt;=0,0,'Range Analysis'!J26*MAX(0,1.04-EXP(0.38*LN('Range Analysis'!K26)-0.54))))-$A$285)/('Range Analysis'!J26/2),0,1,TRUE())-NORMDIST((-('Range Analysis'!$F$6-IF('Range Analysis'!K26&lt;=0,0,'Range Analysis'!J26*MAX(0,1.04-EXP(0.38*LN('Range Analysis'!K26)-0.54))))-$A$285)/('Range Analysis'!J26/2),0,1,TRUE()))</f>
        <v>0.87855866505910885</v>
      </c>
      <c r="M285">
        <f>NORMDIST($A$285,0,'Range Analysis'!$F$8,FALSE())*(NORMDIST((('Range Analysis'!$F$6-IF('Range Analysis'!K27&lt;=0,0,'Range Analysis'!J27*MAX(0,1.04-EXP(0.38*LN('Range Analysis'!K27)-0.54))))-$A$285)/('Range Analysis'!J27/2),0,1,TRUE())-NORMDIST((-('Range Analysis'!$F$6-IF('Range Analysis'!K27&lt;=0,0,'Range Analysis'!J27*MAX(0,1.04-EXP(0.38*LN('Range Analysis'!K27)-0.54))))-$A$285)/('Range Analysis'!J27/2),0,1,TRUE()))</f>
        <v>0.88040606768321084</v>
      </c>
      <c r="N285">
        <f>NORMDIST($A$285,0,'Range Analysis'!$F$8,FALSE())*(NORMDIST((('Range Analysis'!$F$6-IF('Range Analysis'!K28&lt;=0,0,'Range Analysis'!J28*MAX(0,1.04-EXP(0.38*LN('Range Analysis'!K28)-0.54))))-$A$285)/('Range Analysis'!J28/2),0,1,TRUE())-NORMDIST((-('Range Analysis'!$F$6-IF('Range Analysis'!K28&lt;=0,0,'Range Analysis'!J28*MAX(0,1.04-EXP(0.38*LN('Range Analysis'!K28)-0.54))))-$A$285)/('Range Analysis'!J28/2),0,1,TRUE()))</f>
        <v>0.88055387093631587</v>
      </c>
      <c r="O285">
        <f>NORMDIST($A$285,0,'Range Analysis'!$F$8,FALSE())*(NORMDIST((('Range Analysis'!$F$6-IF('Range Analysis'!K29&lt;=0,0,'Range Analysis'!J29*MAX(0,1.04-EXP(0.38*LN('Range Analysis'!K29)-0.54))))-$A$285)/('Range Analysis'!J29/2),0,1,TRUE())-NORMDIST((-('Range Analysis'!$F$6-IF('Range Analysis'!K29&lt;=0,0,'Range Analysis'!J29*MAX(0,1.04-EXP(0.38*LN('Range Analysis'!K29)-0.54))))-$A$285)/('Range Analysis'!J29/2),0,1,TRUE()))</f>
        <v>0.31139251020060182</v>
      </c>
      <c r="P285">
        <f>NORMDIST($A$285,0,'Range Analysis'!$F$8,FALSE())*(NORMDIST((('Range Analysis'!$F$6-IF('Range Analysis'!K30&lt;=0,0,'Range Analysis'!J30*MAX(0,1.04-EXP(0.38*LN('Range Analysis'!K30)-0.54))))-$A$285)/('Range Analysis'!J30/2),0,1,TRUE())-NORMDIST((-('Range Analysis'!$F$6-IF('Range Analysis'!K30&lt;=0,0,'Range Analysis'!J30*MAX(0,1.04-EXP(0.38*LN('Range Analysis'!K30)-0.54))))-$A$285)/('Range Analysis'!J30/2),0,1,TRUE()))</f>
        <v>0.13634098200594044</v>
      </c>
      <c r="Q285">
        <f>NORMDIST($A$285,0,'Range Analysis'!$F$8,FALSE())*(NORMDIST(('Range Analysis'!$F$6-$A$285)/('Range Analysis'!J24/2),0,1,TRUE())-NORMDIST((-'Range Analysis'!$F$6-$A$285)/('Range Analysis'!J24/2),0,1,TRUE()))</f>
        <v>0.82598766543118252</v>
      </c>
      <c r="R285">
        <f>NORMDIST($A$285,0,'Range Analysis'!$F$8,FALSE())*(NORMDIST(('Range Analysis'!$F$6-$A$285)/('Range Analysis'!J25/2),0,1,TRUE())-NORMDIST((-'Range Analysis'!$F$6-$A$285)/('Range Analysis'!J25/2),0,1,TRUE()))</f>
        <v>0.87963303495720668</v>
      </c>
      <c r="S285">
        <f>NORMDIST($A$285,0,'Range Analysis'!$F$8,FALSE())*(NORMDIST(('Range Analysis'!$F$6-$A$285)/('Range Analysis'!J26/2),0,1,TRUE())-NORMDIST((-'Range Analysis'!$F$6-$A$285)/('Range Analysis'!J26/2),0,1,TRUE()))</f>
        <v>0.87963303495720668</v>
      </c>
      <c r="T285">
        <f>NORMDIST($A$285,0,'Range Analysis'!$F$8,FALSE())*(NORMDIST(('Range Analysis'!$F$6-$A$285)/('Range Analysis'!J27/2),0,1,TRUE())-NORMDIST((-'Range Analysis'!$F$6-$A$285)/('Range Analysis'!J27/2),0,1,TRUE()))</f>
        <v>0.88045602891057806</v>
      </c>
      <c r="U285">
        <f>NORMDIST($A$285,0,'Range Analysis'!$F$8,FALSE())*(NORMDIST(('Range Analysis'!$F$6-$A$285)/('Range Analysis'!J28/2),0,1,TRUE())-NORMDIST((-'Range Analysis'!$F$6-$A$285)/('Range Analysis'!J28/2),0,1,TRUE()))</f>
        <v>0.88055387093631587</v>
      </c>
      <c r="V285">
        <f>NORMDIST($A$285,0,'Range Analysis'!$F$8,FALSE())*(NORMDIST(('Range Analysis'!$F$6-$A$285)/('Range Analysis'!J29/2),0,1,TRUE())-NORMDIST((-'Range Analysis'!$F$6-$A$285)/('Range Analysis'!J29/2),0,1,TRUE()))</f>
        <v>0.68150439340189628</v>
      </c>
      <c r="W285">
        <f>NORMDIST($A$285,0,'Range Analysis'!$F$8,FALSE())*(NORMDIST((('Range Analysis'!$F$6-0)-$A$285)/('Range Analysis'!J30/2),0,1,TRUE())-NORMDIST((-('Range Analysis'!$F$6-0)-$A$285)/('Range Analysis'!J30/2),0,1,TRUE()))</f>
        <v>0.62583594861576741</v>
      </c>
    </row>
    <row r="286" spans="1:23" ht="15" customHeight="1" x14ac:dyDescent="0.25">
      <c r="A286">
        <f>-'Range Analysis'!$F$6+10*$B$275</f>
        <v>-0.24358974358974361</v>
      </c>
      <c r="C286">
        <f>NORMDIST($A$286,0,'Range Analysis'!$F$8,FALSE())*(NORMDIST((('Range Analysis'!$F$6-0.98*'Range Analysis'!J24)-$A$286)/('Range Analysis'!J24/2),0,1,TRUE())-NORMDIST((-('Range Analysis'!$F$6-0.98*'Range Analysis'!J24)-$A$286)/('Range Analysis'!J24/2),0,1,TRUE()))</f>
        <v>0.37641150007613705</v>
      </c>
      <c r="D286">
        <f>NORMDIST($A$286,0,'Range Analysis'!$F$8,FALSE())*(NORMDIST((('Range Analysis'!$F$6-0.98*'Range Analysis'!J25)-$A$286)/('Range Analysis'!J25/2),0,1,TRUE())-NORMDIST((-('Range Analysis'!$F$6-0.98*'Range Analysis'!J25)-$A$286)/('Range Analysis'!J25/2),0,1,TRUE()))</f>
        <v>0.87363793894281139</v>
      </c>
      <c r="E286">
        <f>NORMDIST($A$286,0,'Range Analysis'!$F$8,FALSE())*(NORMDIST((('Range Analysis'!$F$6-0.98*'Range Analysis'!J26)-$A$286)/('Range Analysis'!J26/2),0,1,TRUE())-NORMDIST((-('Range Analysis'!$F$6-0.98*'Range Analysis'!J26)-$A$286)/('Range Analysis'!J26/2),0,1,TRUE()))</f>
        <v>0.87363793894281139</v>
      </c>
      <c r="F286">
        <f>NORMDIST($A$286,0,'Range Analysis'!$F$8,FALSE())*(NORMDIST((('Range Analysis'!$F$6-0.98*'Range Analysis'!J27)-$A$286)/('Range Analysis'!J27/2),0,1,TRUE())-NORMDIST((-('Range Analysis'!$F$6-0.98*'Range Analysis'!J27)-$A$286)/('Range Analysis'!J27/2),0,1,TRUE()))</f>
        <v>0.92659689250263466</v>
      </c>
      <c r="G286">
        <f>NORMDIST($A$286,0,'Range Analysis'!$F$8,FALSE())*(NORMDIST((('Range Analysis'!$F$6-0.98*'Range Analysis'!J28)-$A$286)/('Range Analysis'!J28/2),0,1,TRUE())-NORMDIST((-('Range Analysis'!$F$6-0.98*'Range Analysis'!J28)-$A$286)/('Range Analysis'!J28/2),0,1,TRUE()))</f>
        <v>0.94173438574736279</v>
      </c>
      <c r="H286">
        <f>NORMDIST($A$286,0,'Range Analysis'!$F$8,FALSE())*(NORMDIST((('Range Analysis'!$F$6-0.98*'Range Analysis'!J29)-$A$286)/('Range Analysis'!J29/2),0,1,TRUE())-NORMDIST((-('Range Analysis'!$F$6-0.98*'Range Analysis'!J29)-$A$286)/('Range Analysis'!J29/2),0,1,TRUE()))</f>
        <v>-0.15773442013586028</v>
      </c>
      <c r="I286">
        <f>NORMDIST($A$286,0,'Range Analysis'!$F$8,FALSE())*(NORMDIST((('Range Analysis'!$F$6-0.98*'Range Analysis'!J30)-$A$286)/('Range Analysis'!J30/2),0,1,TRUE())-NORMDIST((-('Range Analysis'!$F$6-0.98*'Range Analysis'!J30)-$A$286)/('Range Analysis'!J30/2),0,1,TRUE()))</f>
        <v>-0.36720782092201137</v>
      </c>
      <c r="J286">
        <f>NORMDIST($A$286,0,'Range Analysis'!$F$8,FALSE())*(NORMDIST((('Range Analysis'!$F$6-IF('Range Analysis'!K24&lt;=0,0,'Range Analysis'!J24*MAX(0,1.04-EXP(0.38*LN('Range Analysis'!K24)-0.54))))-$A$286)/('Range Analysis'!J24/2),0,1,TRUE())-NORMDIST((-('Range Analysis'!$F$6-IF('Range Analysis'!K24&lt;=0,0,'Range Analysis'!J24*MAX(0,1.04-EXP(0.38*LN('Range Analysis'!K24)-0.54))))-$A$286)/('Range Analysis'!J24/2),0,1,TRUE()))</f>
        <v>0.80224879980069475</v>
      </c>
      <c r="K286">
        <f>NORMDIST($A$286,0,'Range Analysis'!$F$8,FALSE())*(NORMDIST((('Range Analysis'!$F$6-IF('Range Analysis'!K25&lt;=0,0,'Range Analysis'!J25*MAX(0,1.04-EXP(0.38*LN('Range Analysis'!K25)-0.54))))-$A$286)/('Range Analysis'!J25/2),0,1,TRUE())-NORMDIST((-('Range Analysis'!$F$6-IF('Range Analysis'!K25&lt;=0,0,'Range Analysis'!J25*MAX(0,1.04-EXP(0.38*LN('Range Analysis'!K25)-0.54))))-$A$286)/('Range Analysis'!J25/2),0,1,TRUE()))</f>
        <v>0.94104197785138888</v>
      </c>
      <c r="L286">
        <f>NORMDIST($A$286,0,'Range Analysis'!$F$8,FALSE())*(NORMDIST((('Range Analysis'!$F$6-IF('Range Analysis'!K26&lt;=0,0,'Range Analysis'!J26*MAX(0,1.04-EXP(0.38*LN('Range Analysis'!K26)-0.54))))-$A$286)/('Range Analysis'!J26/2),0,1,TRUE())-NORMDIST((-('Range Analysis'!$F$6-IF('Range Analysis'!K26&lt;=0,0,'Range Analysis'!J26*MAX(0,1.04-EXP(0.38*LN('Range Analysis'!K26)-0.54))))-$A$286)/('Range Analysis'!J26/2),0,1,TRUE()))</f>
        <v>0.94104197785138888</v>
      </c>
      <c r="M286">
        <f>NORMDIST($A$286,0,'Range Analysis'!$F$8,FALSE())*(NORMDIST((('Range Analysis'!$F$6-IF('Range Analysis'!K27&lt;=0,0,'Range Analysis'!J27*MAX(0,1.04-EXP(0.38*LN('Range Analysis'!K27)-0.54))))-$A$286)/('Range Analysis'!J27/2),0,1,TRUE())-NORMDIST((-('Range Analysis'!$F$6-IF('Range Analysis'!K27&lt;=0,0,'Range Analysis'!J27*MAX(0,1.04-EXP(0.38*LN('Range Analysis'!K27)-0.54))))-$A$286)/('Range Analysis'!J27/2),0,1,TRUE()))</f>
        <v>0.94170409281355938</v>
      </c>
      <c r="N286">
        <f>NORMDIST($A$286,0,'Range Analysis'!$F$8,FALSE())*(NORMDIST((('Range Analysis'!$F$6-IF('Range Analysis'!K28&lt;=0,0,'Range Analysis'!J28*MAX(0,1.04-EXP(0.38*LN('Range Analysis'!K28)-0.54))))-$A$286)/('Range Analysis'!J28/2),0,1,TRUE())-NORMDIST((-('Range Analysis'!$F$6-IF('Range Analysis'!K28&lt;=0,0,'Range Analysis'!J28*MAX(0,1.04-EXP(0.38*LN('Range Analysis'!K28)-0.54))))-$A$286)/('Range Analysis'!J28/2),0,1,TRUE()))</f>
        <v>0.94173438574736279</v>
      </c>
      <c r="O286">
        <f>NORMDIST($A$286,0,'Range Analysis'!$F$8,FALSE())*(NORMDIST((('Range Analysis'!$F$6-IF('Range Analysis'!K29&lt;=0,0,'Range Analysis'!J29*MAX(0,1.04-EXP(0.38*LN('Range Analysis'!K29)-0.54))))-$A$286)/('Range Analysis'!J29/2),0,1,TRUE())-NORMDIST((-('Range Analysis'!$F$6-IF('Range Analysis'!K29&lt;=0,0,'Range Analysis'!J29*MAX(0,1.04-EXP(0.38*LN('Range Analysis'!K29)-0.54))))-$A$286)/('Range Analysis'!J29/2),0,1,TRUE()))</f>
        <v>0.35462710747113102</v>
      </c>
      <c r="P286">
        <f>NORMDIST($A$286,0,'Range Analysis'!$F$8,FALSE())*(NORMDIST((('Range Analysis'!$F$6-IF('Range Analysis'!K30&lt;=0,0,'Range Analysis'!J30*MAX(0,1.04-EXP(0.38*LN('Range Analysis'!K30)-0.54))))-$A$286)/('Range Analysis'!J30/2),0,1,TRUE())-NORMDIST((-('Range Analysis'!$F$6-IF('Range Analysis'!K30&lt;=0,0,'Range Analysis'!J30*MAX(0,1.04-EXP(0.38*LN('Range Analysis'!K30)-0.54))))-$A$286)/('Range Analysis'!J30/2),0,1,TRUE()))</f>
        <v>0.15264294224503641</v>
      </c>
      <c r="Q286">
        <f>NORMDIST($A$286,0,'Range Analysis'!$F$8,FALSE())*(NORMDIST(('Range Analysis'!$F$6-$A$286)/('Range Analysis'!J24/2),0,1,TRUE())-NORMDIST((-'Range Analysis'!$F$6-$A$286)/('Range Analysis'!J24/2),0,1,TRUE()))</f>
        <v>0.90059129145663874</v>
      </c>
      <c r="R286">
        <f>NORMDIST($A$286,0,'Range Analysis'!$F$8,FALSE())*(NORMDIST(('Range Analysis'!$F$6-$A$286)/('Range Analysis'!J25/2),0,1,TRUE())-NORMDIST((-'Range Analysis'!$F$6-$A$286)/('Range Analysis'!J25/2),0,1,TRUE()))</f>
        <v>0.94143822370718455</v>
      </c>
      <c r="S286">
        <f>NORMDIST($A$286,0,'Range Analysis'!$F$8,FALSE())*(NORMDIST(('Range Analysis'!$F$6-$A$286)/('Range Analysis'!J26/2),0,1,TRUE())-NORMDIST((-'Range Analysis'!$F$6-$A$286)/('Range Analysis'!J26/2),0,1,TRUE()))</f>
        <v>0.94143822370718455</v>
      </c>
      <c r="T286">
        <f>NORMDIST($A$286,0,'Range Analysis'!$F$8,FALSE())*(NORMDIST(('Range Analysis'!$F$6-$A$286)/('Range Analysis'!J27/2),0,1,TRUE())-NORMDIST((-'Range Analysis'!$F$6-$A$286)/('Range Analysis'!J27/2),0,1,TRUE()))</f>
        <v>0.94171514627397668</v>
      </c>
      <c r="U286">
        <f>NORMDIST($A$286,0,'Range Analysis'!$F$8,FALSE())*(NORMDIST(('Range Analysis'!$F$6-$A$286)/('Range Analysis'!J28/2),0,1,TRUE())-NORMDIST((-'Range Analysis'!$F$6-$A$286)/('Range Analysis'!J28/2),0,1,TRUE()))</f>
        <v>0.94173438574736279</v>
      </c>
      <c r="V286">
        <f>NORMDIST($A$286,0,'Range Analysis'!$F$8,FALSE())*(NORMDIST(('Range Analysis'!$F$6-$A$286)/('Range Analysis'!J29/2),0,1,TRUE())-NORMDIST((-'Range Analysis'!$F$6-$A$286)/('Range Analysis'!J29/2),0,1,TRUE()))</f>
        <v>0.75060680728830875</v>
      </c>
      <c r="W286">
        <f>NORMDIST($A$286,0,'Range Analysis'!$F$8,FALSE())*(NORMDIST((('Range Analysis'!$F$6-0)-$A$286)/('Range Analysis'!J30/2),0,1,TRUE())-NORMDIST((-('Range Analysis'!$F$6-0)-$A$286)/('Range Analysis'!J30/2),0,1,TRUE()))</f>
        <v>0.68675780938997388</v>
      </c>
    </row>
    <row r="287" spans="1:23" ht="15" customHeight="1" x14ac:dyDescent="0.25">
      <c r="A287">
        <f>-'Range Analysis'!$F$6+11*$B$275</f>
        <v>-0.21794871794871795</v>
      </c>
      <c r="C287">
        <f>NORMDIST($A$287,0,'Range Analysis'!$F$8,FALSE())*(NORMDIST((('Range Analysis'!$F$6-0.98*'Range Analysis'!J24)-$A$287)/('Range Analysis'!J24/2),0,1,TRUE())-NORMDIST((-('Range Analysis'!$F$6-0.98*'Range Analysis'!J24)-$A$287)/('Range Analysis'!J24/2),0,1,TRUE()))</f>
        <v>0.46609739459254701</v>
      </c>
      <c r="D287">
        <f>NORMDIST($A$287,0,'Range Analysis'!$F$8,FALSE())*(NORMDIST((('Range Analysis'!$F$6-0.98*'Range Analysis'!J25)-$A$287)/('Range Analysis'!J25/2),0,1,TRUE())-NORMDIST((-('Range Analysis'!$F$6-0.98*'Range Analysis'!J25)-$A$287)/('Range Analysis'!J25/2),0,1,TRUE()))</f>
        <v>0.96453147346609547</v>
      </c>
      <c r="E287">
        <f>NORMDIST($A$287,0,'Range Analysis'!$F$8,FALSE())*(NORMDIST((('Range Analysis'!$F$6-0.98*'Range Analysis'!J26)-$A$287)/('Range Analysis'!J26/2),0,1,TRUE())-NORMDIST((-('Range Analysis'!$F$6-0.98*'Range Analysis'!J26)-$A$287)/('Range Analysis'!J26/2),0,1,TRUE()))</f>
        <v>0.96453147346609547</v>
      </c>
      <c r="F287">
        <f>NORMDIST($A$287,0,'Range Analysis'!$F$8,FALSE())*(NORMDIST((('Range Analysis'!$F$6-0.98*'Range Analysis'!J27)-$A$287)/('Range Analysis'!J27/2),0,1,TRUE())-NORMDIST((-('Range Analysis'!$F$6-0.98*'Range Analysis'!J27)-$A$287)/('Range Analysis'!J27/2),0,1,TRUE()))</f>
        <v>0.9950780318339929</v>
      </c>
      <c r="G287">
        <f>NORMDIST($A$287,0,'Range Analysis'!$F$8,FALSE())*(NORMDIST((('Range Analysis'!$F$6-0.98*'Range Analysis'!J28)-$A$287)/('Range Analysis'!J28/2),0,1,TRUE())-NORMDIST((-('Range Analysis'!$F$6-0.98*'Range Analysis'!J28)-$A$287)/('Range Analysis'!J28/2),0,1,TRUE()))</f>
        <v>1.0004230191675876</v>
      </c>
      <c r="H287">
        <f>NORMDIST($A$287,0,'Range Analysis'!$F$8,FALSE())*(NORMDIST((('Range Analysis'!$F$6-0.98*'Range Analysis'!J29)-$A$287)/('Range Analysis'!J29/2),0,1,TRUE())-NORMDIST((-('Range Analysis'!$F$6-0.98*'Range Analysis'!J29)-$A$287)/('Range Analysis'!J29/2),0,1,TRUE()))</f>
        <v>-0.17861915688928809</v>
      </c>
      <c r="I287">
        <f>NORMDIST($A$287,0,'Range Analysis'!$F$8,FALSE())*(NORMDIST((('Range Analysis'!$F$6-0.98*'Range Analysis'!J30)-$A$287)/('Range Analysis'!J30/2),0,1,TRUE())-NORMDIST((-('Range Analysis'!$F$6-0.98*'Range Analysis'!J30)-$A$287)/('Range Analysis'!J30/2),0,1,TRUE()))</f>
        <v>-0.40475490325141328</v>
      </c>
      <c r="J287">
        <f>NORMDIST($A$287,0,'Range Analysis'!$F$8,FALSE())*(NORMDIST((('Range Analysis'!$F$6-IF('Range Analysis'!K24&lt;=0,0,'Range Analysis'!J24*MAX(0,1.04-EXP(0.38*LN('Range Analysis'!K24)-0.54))))-$A$287)/('Range Analysis'!J24/2),0,1,TRUE())-NORMDIST((-('Range Analysis'!$F$6-IF('Range Analysis'!K24&lt;=0,0,'Range Analysis'!J24*MAX(0,1.04-EXP(0.38*LN('Range Analysis'!K24)-0.54))))-$A$287)/('Range Analysis'!J24/2),0,1,TRUE()))</f>
        <v>0.88827435301484281</v>
      </c>
      <c r="K287">
        <f>NORMDIST($A$287,0,'Range Analysis'!$F$8,FALSE())*(NORMDIST((('Range Analysis'!$F$6-IF('Range Analysis'!K25&lt;=0,0,'Range Analysis'!J25*MAX(0,1.04-EXP(0.38*LN('Range Analysis'!K25)-0.54))))-$A$287)/('Range Analysis'!J25/2),0,1,TRUE())-NORMDIST((-('Range Analysis'!$F$6-IF('Range Analysis'!K25&lt;=0,0,'Range Analysis'!J25*MAX(0,1.04-EXP(0.38*LN('Range Analysis'!K25)-0.54))))-$A$287)/('Range Analysis'!J25/2),0,1,TRUE()))</f>
        <v>1.0002090385508295</v>
      </c>
      <c r="L287">
        <f>NORMDIST($A$287,0,'Range Analysis'!$F$8,FALSE())*(NORMDIST((('Range Analysis'!$F$6-IF('Range Analysis'!K26&lt;=0,0,'Range Analysis'!J26*MAX(0,1.04-EXP(0.38*LN('Range Analysis'!K26)-0.54))))-$A$287)/('Range Analysis'!J26/2),0,1,TRUE())-NORMDIST((-('Range Analysis'!$F$6-IF('Range Analysis'!K26&lt;=0,0,'Range Analysis'!J26*MAX(0,1.04-EXP(0.38*LN('Range Analysis'!K26)-0.54))))-$A$287)/('Range Analysis'!J26/2),0,1,TRUE()))</f>
        <v>1.0002090385508295</v>
      </c>
      <c r="M287">
        <f>NORMDIST($A$287,0,'Range Analysis'!$F$8,FALSE())*(NORMDIST((('Range Analysis'!$F$6-IF('Range Analysis'!K27&lt;=0,0,'Range Analysis'!J27*MAX(0,1.04-EXP(0.38*LN('Range Analysis'!K27)-0.54))))-$A$287)/('Range Analysis'!J27/2),0,1,TRUE())-NORMDIST((-('Range Analysis'!$F$6-IF('Range Analysis'!K27&lt;=0,0,'Range Analysis'!J27*MAX(0,1.04-EXP(0.38*LN('Range Analysis'!K27)-0.54))))-$A$287)/('Range Analysis'!J27/2),0,1,TRUE()))</f>
        <v>1.000417766119245</v>
      </c>
      <c r="N287">
        <f>NORMDIST($A$287,0,'Range Analysis'!$F$8,FALSE())*(NORMDIST((('Range Analysis'!$F$6-IF('Range Analysis'!K28&lt;=0,0,'Range Analysis'!J28*MAX(0,1.04-EXP(0.38*LN('Range Analysis'!K28)-0.54))))-$A$287)/('Range Analysis'!J28/2),0,1,TRUE())-NORMDIST((-('Range Analysis'!$F$6-IF('Range Analysis'!K28&lt;=0,0,'Range Analysis'!J28*MAX(0,1.04-EXP(0.38*LN('Range Analysis'!K28)-0.54))))-$A$287)/('Range Analysis'!J28/2),0,1,TRUE()))</f>
        <v>1.0004230191675876</v>
      </c>
      <c r="O287">
        <f>NORMDIST($A$287,0,'Range Analysis'!$F$8,FALSE())*(NORMDIST((('Range Analysis'!$F$6-IF('Range Analysis'!K29&lt;=0,0,'Range Analysis'!J29*MAX(0,1.04-EXP(0.38*LN('Range Analysis'!K29)-0.54))))-$A$287)/('Range Analysis'!J29/2),0,1,TRUE())-NORMDIST((-('Range Analysis'!$F$6-IF('Range Analysis'!K29&lt;=0,0,'Range Analysis'!J29*MAX(0,1.04-EXP(0.38*LN('Range Analysis'!K29)-0.54))))-$A$287)/('Range Analysis'!J29/2),0,1,TRUE()))</f>
        <v>0.39863445138603965</v>
      </c>
      <c r="P287">
        <f>NORMDIST($A$287,0,'Range Analysis'!$F$8,FALSE())*(NORMDIST((('Range Analysis'!$F$6-IF('Range Analysis'!K30&lt;=0,0,'Range Analysis'!J30*MAX(0,1.04-EXP(0.38*LN('Range Analysis'!K30)-0.54))))-$A$287)/('Range Analysis'!J30/2),0,1,TRUE())-NORMDIST((-('Range Analysis'!$F$6-IF('Range Analysis'!K30&lt;=0,0,'Range Analysis'!J30*MAX(0,1.04-EXP(0.38*LN('Range Analysis'!K30)-0.54))))-$A$287)/('Range Analysis'!J30/2),0,1,TRUE()))</f>
        <v>0.16897477088970633</v>
      </c>
      <c r="Q287">
        <f>NORMDIST($A$287,0,'Range Analysis'!$F$8,FALSE())*(NORMDIST(('Range Analysis'!$F$6-$A$287)/('Range Analysis'!J24/2),0,1,TRUE())-NORMDIST((-'Range Analysis'!$F$6-$A$287)/('Range Analysis'!J24/2),0,1,TRUE()))</f>
        <v>0.97037871640892048</v>
      </c>
      <c r="R287">
        <f>NORMDIST($A$287,0,'Range Analysis'!$F$8,FALSE())*(NORMDIST(('Range Analysis'!$F$6-$A$287)/('Range Analysis'!J25/2),0,1,TRUE())-NORMDIST((-'Range Analysis'!$F$6-$A$287)/('Range Analysis'!J25/2),0,1,TRUE()))</f>
        <v>1.0003382585565885</v>
      </c>
      <c r="S287">
        <f>NORMDIST($A$287,0,'Range Analysis'!$F$8,FALSE())*(NORMDIST(('Range Analysis'!$F$6-$A$287)/('Range Analysis'!J26/2),0,1,TRUE())-NORMDIST((-'Range Analysis'!$F$6-$A$287)/('Range Analysis'!J26/2),0,1,TRUE()))</f>
        <v>1.0003382585565885</v>
      </c>
      <c r="T287">
        <f>NORMDIST($A$287,0,'Range Analysis'!$F$8,FALSE())*(NORMDIST(('Range Analysis'!$F$6-$A$287)/('Range Analysis'!J27/2),0,1,TRUE())-NORMDIST((-'Range Analysis'!$F$6-$A$287)/('Range Analysis'!J27/2),0,1,TRUE()))</f>
        <v>1.0004198192567015</v>
      </c>
      <c r="U287">
        <f>NORMDIST($A$287,0,'Range Analysis'!$F$8,FALSE())*(NORMDIST(('Range Analysis'!$F$6-$A$287)/('Range Analysis'!J28/2),0,1,TRUE())-NORMDIST((-'Range Analysis'!$F$6-$A$287)/('Range Analysis'!J28/2),0,1,TRUE()))</f>
        <v>1.0004230191675876</v>
      </c>
      <c r="V287">
        <f>NORMDIST($A$287,0,'Range Analysis'!$F$8,FALSE())*(NORMDIST(('Range Analysis'!$F$6-$A$287)/('Range Analysis'!J29/2),0,1,TRUE())-NORMDIST((-'Range Analysis'!$F$6-$A$287)/('Range Analysis'!J29/2),0,1,TRUE()))</f>
        <v>0.81842919921120727</v>
      </c>
      <c r="W287">
        <f>NORMDIST($A$287,0,'Range Analysis'!$F$8,FALSE())*(NORMDIST((('Range Analysis'!$F$6-0)-$A$287)/('Range Analysis'!J30/2),0,1,TRUE())-NORMDIST((-('Range Analysis'!$F$6-0)-$A$287)/('Range Analysis'!J30/2),0,1,TRUE()))</f>
        <v>0.74655502112478767</v>
      </c>
    </row>
    <row r="288" spans="1:23" ht="15" customHeight="1" x14ac:dyDescent="0.25">
      <c r="A288">
        <f>-'Range Analysis'!$F$6+12*$B$275</f>
        <v>-0.19230769230769229</v>
      </c>
      <c r="C288">
        <f>NORMDIST($A$288,0,'Range Analysis'!$F$8,FALSE())*(NORMDIST((('Range Analysis'!$F$6-0.98*'Range Analysis'!J24)-$A$288)/('Range Analysis'!J24/2),0,1,TRUE())-NORMDIST((-('Range Analysis'!$F$6-0.98*'Range Analysis'!J24)-$A$288)/('Range Analysis'!J24/2),0,1,TRUE()))</f>
        <v>0.56203541782091593</v>
      </c>
      <c r="D288">
        <f>NORMDIST($A$288,0,'Range Analysis'!$F$8,FALSE())*(NORMDIST((('Range Analysis'!$F$6-0.98*'Range Analysis'!J25)-$A$288)/('Range Analysis'!J25/2),0,1,TRUE())-NORMDIST((-('Range Analysis'!$F$6-0.98*'Range Analysis'!J25)-$A$288)/('Range Analysis'!J25/2),0,1,TRUE()))</f>
        <v>1.0386855392055663</v>
      </c>
      <c r="E288">
        <f>NORMDIST($A$288,0,'Range Analysis'!$F$8,FALSE())*(NORMDIST((('Range Analysis'!$F$6-0.98*'Range Analysis'!J26)-$A$288)/('Range Analysis'!J26/2),0,1,TRUE())-NORMDIST((-('Range Analysis'!$F$6-0.98*'Range Analysis'!J26)-$A$288)/('Range Analysis'!J26/2),0,1,TRUE()))</f>
        <v>1.0386855392055663</v>
      </c>
      <c r="F288">
        <f>NORMDIST($A$288,0,'Range Analysis'!$F$8,FALSE())*(NORMDIST((('Range Analysis'!$F$6-0.98*'Range Analysis'!J27)-$A$288)/('Range Analysis'!J27/2),0,1,TRUE())-NORMDIST((-('Range Analysis'!$F$6-0.98*'Range Analysis'!J27)-$A$288)/('Range Analysis'!J27/2),0,1,TRUE()))</f>
        <v>1.0540465278392228</v>
      </c>
      <c r="G288">
        <f>NORMDIST($A$288,0,'Range Analysis'!$F$8,FALSE())*(NORMDIST((('Range Analysis'!$F$6-0.98*'Range Analysis'!J28)-$A$288)/('Range Analysis'!J28/2),0,1,TRUE())-NORMDIST((-('Range Analysis'!$F$6-0.98*'Range Analysis'!J28)-$A$288)/('Range Analysis'!J28/2),0,1,TRUE()))</f>
        <v>1.055654185939134</v>
      </c>
      <c r="H288">
        <f>NORMDIST($A$288,0,'Range Analysis'!$F$8,FALSE())*(NORMDIST((('Range Analysis'!$F$6-0.98*'Range Analysis'!J29)-$A$288)/('Range Analysis'!J29/2),0,1,TRUE())-NORMDIST((-('Range Analysis'!$F$6-0.98*'Range Analysis'!J29)-$A$288)/('Range Analysis'!J29/2),0,1,TRUE()))</f>
        <v>-0.19949358072920126</v>
      </c>
      <c r="I288">
        <f>NORMDIST($A$288,0,'Range Analysis'!$F$8,FALSE())*(NORMDIST((('Range Analysis'!$F$6-0.98*'Range Analysis'!J30)-$A$288)/('Range Analysis'!J30/2),0,1,TRUE())-NORMDIST((-('Range Analysis'!$F$6-0.98*'Range Analysis'!J30)-$A$288)/('Range Analysis'!J30/2),0,1,TRUE()))</f>
        <v>-0.44133747033274223</v>
      </c>
      <c r="J288">
        <f>NORMDIST($A$288,0,'Range Analysis'!$F$8,FALSE())*(NORMDIST((('Range Analysis'!$F$6-IF('Range Analysis'!K24&lt;=0,0,'Range Analysis'!J24*MAX(0,1.04-EXP(0.38*LN('Range Analysis'!K24)-0.54))))-$A$288)/('Range Analysis'!J24/2),0,1,TRUE())-NORMDIST((-('Range Analysis'!$F$6-IF('Range Analysis'!K24&lt;=0,0,'Range Analysis'!J24*MAX(0,1.04-EXP(0.38*LN('Range Analysis'!K24)-0.54))))-$A$288)/('Range Analysis'!J24/2),0,1,TRUE()))</f>
        <v>0.96820272822170561</v>
      </c>
      <c r="K288">
        <f>NORMDIST($A$288,0,'Range Analysis'!$F$8,FALSE())*(NORMDIST((('Range Analysis'!$F$6-IF('Range Analysis'!K25&lt;=0,0,'Range Analysis'!J25*MAX(0,1.04-EXP(0.38*LN('Range Analysis'!K25)-0.54))))-$A$288)/('Range Analysis'!J25/2),0,1,TRUE())-NORMDIST((-('Range Analysis'!$F$6-IF('Range Analysis'!K25&lt;=0,0,'Range Analysis'!J25*MAX(0,1.04-EXP(0.38*LN('Range Analysis'!K25)-0.54))))-$A$288)/('Range Analysis'!J25/2),0,1,TRUE()))</f>
        <v>1.0555953587155182</v>
      </c>
      <c r="L288">
        <f>NORMDIST($A$288,0,'Range Analysis'!$F$8,FALSE())*(NORMDIST((('Range Analysis'!$F$6-IF('Range Analysis'!K26&lt;=0,0,'Range Analysis'!J26*MAX(0,1.04-EXP(0.38*LN('Range Analysis'!K26)-0.54))))-$A$288)/('Range Analysis'!J26/2),0,1,TRUE())-NORMDIST((-('Range Analysis'!$F$6-IF('Range Analysis'!K26&lt;=0,0,'Range Analysis'!J26*MAX(0,1.04-EXP(0.38*LN('Range Analysis'!K26)-0.54))))-$A$288)/('Range Analysis'!J26/2),0,1,TRUE()))</f>
        <v>1.0555953587155182</v>
      </c>
      <c r="M288">
        <f>NORMDIST($A$288,0,'Range Analysis'!$F$8,FALSE())*(NORMDIST((('Range Analysis'!$F$6-IF('Range Analysis'!K27&lt;=0,0,'Range Analysis'!J27*MAX(0,1.04-EXP(0.38*LN('Range Analysis'!K27)-0.54))))-$A$288)/('Range Analysis'!J27/2),0,1,TRUE())-NORMDIST((-('Range Analysis'!$F$6-IF('Range Analysis'!K27&lt;=0,0,'Range Analysis'!J27*MAX(0,1.04-EXP(0.38*LN('Range Analysis'!K27)-0.54))))-$A$288)/('Range Analysis'!J27/2),0,1,TRUE()))</f>
        <v>1.0556534160838413</v>
      </c>
      <c r="N288">
        <f>NORMDIST($A$288,0,'Range Analysis'!$F$8,FALSE())*(NORMDIST((('Range Analysis'!$F$6-IF('Range Analysis'!K28&lt;=0,0,'Range Analysis'!J28*MAX(0,1.04-EXP(0.38*LN('Range Analysis'!K28)-0.54))))-$A$288)/('Range Analysis'!J28/2),0,1,TRUE())-NORMDIST((-('Range Analysis'!$F$6-IF('Range Analysis'!K28&lt;=0,0,'Range Analysis'!J28*MAX(0,1.04-EXP(0.38*LN('Range Analysis'!K28)-0.54))))-$A$288)/('Range Analysis'!J28/2),0,1,TRUE()))</f>
        <v>1.055654185939134</v>
      </c>
      <c r="O288">
        <f>NORMDIST($A$288,0,'Range Analysis'!$F$8,FALSE())*(NORMDIST((('Range Analysis'!$F$6-IF('Range Analysis'!K29&lt;=0,0,'Range Analysis'!J29*MAX(0,1.04-EXP(0.38*LN('Range Analysis'!K29)-0.54))))-$A$288)/('Range Analysis'!J29/2),0,1,TRUE())-NORMDIST((-('Range Analysis'!$F$6-IF('Range Analysis'!K29&lt;=0,0,'Range Analysis'!J29*MAX(0,1.04-EXP(0.38*LN('Range Analysis'!K29)-0.54))))-$A$288)/('Range Analysis'!J29/2),0,1,TRUE()))</f>
        <v>0.44230446269040302</v>
      </c>
      <c r="P288">
        <f>NORMDIST($A$288,0,'Range Analysis'!$F$8,FALSE())*(NORMDIST((('Range Analysis'!$F$6-IF('Range Analysis'!K30&lt;=0,0,'Range Analysis'!J30*MAX(0,1.04-EXP(0.38*LN('Range Analysis'!K30)-0.54))))-$A$288)/('Range Analysis'!J30/2),0,1,TRUE())-NORMDIST((-('Range Analysis'!$F$6-IF('Range Analysis'!K30&lt;=0,0,'Range Analysis'!J30*MAX(0,1.04-EXP(0.38*LN('Range Analysis'!K30)-0.54))))-$A$288)/('Range Analysis'!J30/2),0,1,TRUE()))</f>
        <v>0.18495321094305858</v>
      </c>
      <c r="Q288">
        <f>NORMDIST($A$288,0,'Range Analysis'!$F$8,FALSE())*(NORMDIST(('Range Analysis'!$F$6-$A$288)/('Range Analysis'!J24/2),0,1,TRUE())-NORMDIST((-'Range Analysis'!$F$6-$A$288)/('Range Analysis'!J24/2),0,1,TRUE()))</f>
        <v>1.0344126232755375</v>
      </c>
      <c r="R288">
        <f>NORMDIST($A$288,0,'Range Analysis'!$F$8,FALSE())*(NORMDIST(('Range Analysis'!$F$6-$A$288)/('Range Analysis'!J25/2),0,1,TRUE())-NORMDIST((-'Range Analysis'!$F$6-$A$288)/('Range Analysis'!J25/2),0,1,TRUE()))</f>
        <v>1.0556326191035987</v>
      </c>
      <c r="S288">
        <f>NORMDIST($A$288,0,'Range Analysis'!$F$8,FALSE())*(NORMDIST(('Range Analysis'!$F$6-$A$288)/('Range Analysis'!J26/2),0,1,TRUE())-NORMDIST((-'Range Analysis'!$F$6-$A$288)/('Range Analysis'!J26/2),0,1,TRUE()))</f>
        <v>1.0556326191035987</v>
      </c>
      <c r="T288">
        <f>NORMDIST($A$288,0,'Range Analysis'!$F$8,FALSE())*(NORMDIST(('Range Analysis'!$F$6-$A$288)/('Range Analysis'!J27/2),0,1,TRUE())-NORMDIST((-'Range Analysis'!$F$6-$A$288)/('Range Analysis'!J27/2),0,1,TRUE()))</f>
        <v>1.055653736262413</v>
      </c>
      <c r="U288">
        <f>NORMDIST($A$288,0,'Range Analysis'!$F$8,FALSE())*(NORMDIST(('Range Analysis'!$F$6-$A$288)/('Range Analysis'!J28/2),0,1,TRUE())-NORMDIST((-'Range Analysis'!$F$6-$A$288)/('Range Analysis'!J28/2),0,1,TRUE()))</f>
        <v>1.055654185939134</v>
      </c>
      <c r="V288">
        <f>NORMDIST($A$288,0,'Range Analysis'!$F$8,FALSE())*(NORMDIST(('Range Analysis'!$F$6-$A$288)/('Range Analysis'!J29/2),0,1,TRUE())-NORMDIST((-'Range Analysis'!$F$6-$A$288)/('Range Analysis'!J29/2),0,1,TRUE()))</f>
        <v>0.88354186964291659</v>
      </c>
      <c r="W288">
        <f>NORMDIST($A$288,0,'Range Analysis'!$F$8,FALSE())*(NORMDIST((('Range Analysis'!$F$6-0)-$A$288)/('Range Analysis'!J30/2),0,1,TRUE())-NORMDIST((-('Range Analysis'!$F$6-0)-$A$288)/('Range Analysis'!J30/2),0,1,TRUE()))</f>
        <v>0.80398955652049864</v>
      </c>
    </row>
    <row r="289" spans="1:23" ht="15" customHeight="1" x14ac:dyDescent="0.25">
      <c r="A289">
        <f>-'Range Analysis'!$F$6+13*$B$275</f>
        <v>-0.16666666666666669</v>
      </c>
      <c r="C289">
        <f>NORMDIST($A$289,0,'Range Analysis'!$F$8,FALSE())*(NORMDIST((('Range Analysis'!$F$6-0.98*'Range Analysis'!J24)-$A$289)/('Range Analysis'!J24/2),0,1,TRUE())-NORMDIST((-('Range Analysis'!$F$6-0.98*'Range Analysis'!J24)-$A$289)/('Range Analysis'!J24/2),0,1,TRUE()))</f>
        <v>0.66049738732789787</v>
      </c>
      <c r="D289">
        <f>NORMDIST($A$289,0,'Range Analysis'!$F$8,FALSE())*(NORMDIST((('Range Analysis'!$F$6-0.98*'Range Analysis'!J25)-$A$289)/('Range Analysis'!J25/2),0,1,TRUE())-NORMDIST((-('Range Analysis'!$F$6-0.98*'Range Analysis'!J25)-$A$289)/('Range Analysis'!J25/2),0,1,TRUE()))</f>
        <v>1.0992986029614957</v>
      </c>
      <c r="E289">
        <f>NORMDIST($A$289,0,'Range Analysis'!$F$8,FALSE())*(NORMDIST((('Range Analysis'!$F$6-0.98*'Range Analysis'!J26)-$A$289)/('Range Analysis'!J26/2),0,1,TRUE())-NORMDIST((-('Range Analysis'!$F$6-0.98*'Range Analysis'!J26)-$A$289)/('Range Analysis'!J26/2),0,1,TRUE()))</f>
        <v>1.0992986029614957</v>
      </c>
      <c r="F289">
        <f>NORMDIST($A$289,0,'Range Analysis'!$F$8,FALSE())*(NORMDIST((('Range Analysis'!$F$6-0.98*'Range Analysis'!J27)-$A$289)/('Range Analysis'!J27/2),0,1,TRUE())-NORMDIST((-('Range Analysis'!$F$6-0.98*'Range Analysis'!J27)-$A$289)/('Range Analysis'!J27/2),0,1,TRUE()))</f>
        <v>1.1060662236146734</v>
      </c>
      <c r="G289">
        <f>NORMDIST($A$289,0,'Range Analysis'!$F$8,FALSE())*(NORMDIST((('Range Analysis'!$F$6-0.98*'Range Analysis'!J28)-$A$289)/('Range Analysis'!J28/2),0,1,TRUE())-NORMDIST((-('Range Analysis'!$F$6-0.98*'Range Analysis'!J28)-$A$289)/('Range Analysis'!J28/2),0,1,TRUE()))</f>
        <v>1.1064770806285489</v>
      </c>
      <c r="H289">
        <f>NORMDIST($A$289,0,'Range Analysis'!$F$8,FALSE())*(NORMDIST((('Range Analysis'!$F$6-0.98*'Range Analysis'!J29)-$A$289)/('Range Analysis'!J29/2),0,1,TRUE())-NORMDIST((-('Range Analysis'!$F$6-0.98*'Range Analysis'!J29)-$A$289)/('Range Analysis'!J29/2),0,1,TRUE()))</f>
        <v>-0.2197502207101289</v>
      </c>
      <c r="I289">
        <f>NORMDIST($A$289,0,'Range Analysis'!$F$8,FALSE())*(NORMDIST((('Range Analysis'!$F$6-0.98*'Range Analysis'!J30)-$A$289)/('Range Analysis'!J30/2),0,1,TRUE())-NORMDIST((-('Range Analysis'!$F$6-0.98*'Range Analysis'!J30)-$A$289)/('Range Analysis'!J30/2),0,1,TRUE()))</f>
        <v>-0.47604638006768102</v>
      </c>
      <c r="J289">
        <f>NORMDIST($A$289,0,'Range Analysis'!$F$8,FALSE())*(NORMDIST((('Range Analysis'!$F$6-IF('Range Analysis'!K24&lt;=0,0,'Range Analysis'!J24*MAX(0,1.04-EXP(0.38*LN('Range Analysis'!K24)-0.54))))-$A$289)/('Range Analysis'!J24/2),0,1,TRUE())-NORMDIST((-('Range Analysis'!$F$6-IF('Range Analysis'!K24&lt;=0,0,'Range Analysis'!J24*MAX(0,1.04-EXP(0.38*LN('Range Analysis'!K24)-0.54))))-$A$289)/('Range Analysis'!J24/2),0,1,TRUE()))</f>
        <v>1.0403481046918552</v>
      </c>
      <c r="K289">
        <f>NORMDIST($A$289,0,'Range Analysis'!$F$8,FALSE())*(NORMDIST((('Range Analysis'!$F$6-IF('Range Analysis'!K25&lt;=0,0,'Range Analysis'!J25*MAX(0,1.04-EXP(0.38*LN('Range Analysis'!K25)-0.54))))-$A$289)/('Range Analysis'!J25/2),0,1,TRUE())-NORMDIST((-('Range Analysis'!$F$6-IF('Range Analysis'!K25&lt;=0,0,'Range Analysis'!J25*MAX(0,1.04-EXP(0.38*LN('Range Analysis'!K25)-0.54))))-$A$289)/('Range Analysis'!J25/2),0,1,TRUE()))</f>
        <v>1.10646270569863</v>
      </c>
      <c r="L289">
        <f>NORMDIST($A$289,0,'Range Analysis'!$F$8,FALSE())*(NORMDIST((('Range Analysis'!$F$6-IF('Range Analysis'!K26&lt;=0,0,'Range Analysis'!J26*MAX(0,1.04-EXP(0.38*LN('Range Analysis'!K26)-0.54))))-$A$289)/('Range Analysis'!J26/2),0,1,TRUE())-NORMDIST((-('Range Analysis'!$F$6-IF('Range Analysis'!K26&lt;=0,0,'Range Analysis'!J26*MAX(0,1.04-EXP(0.38*LN('Range Analysis'!K26)-0.54))))-$A$289)/('Range Analysis'!J26/2),0,1,TRUE()))</f>
        <v>1.10646270569863</v>
      </c>
      <c r="M289">
        <f>NORMDIST($A$289,0,'Range Analysis'!$F$8,FALSE())*(NORMDIST((('Range Analysis'!$F$6-IF('Range Analysis'!K27&lt;=0,0,'Range Analysis'!J27*MAX(0,1.04-EXP(0.38*LN('Range Analysis'!K27)-0.54))))-$A$289)/('Range Analysis'!J27/2),0,1,TRUE())-NORMDIST((-('Range Analysis'!$F$6-IF('Range Analysis'!K27&lt;=0,0,'Range Analysis'!J27*MAX(0,1.04-EXP(0.38*LN('Range Analysis'!K27)-0.54))))-$A$289)/('Range Analysis'!J27/2),0,1,TRUE()))</f>
        <v>1.1064769853619756</v>
      </c>
      <c r="N289">
        <f>NORMDIST($A$289,0,'Range Analysis'!$F$8,FALSE())*(NORMDIST((('Range Analysis'!$F$6-IF('Range Analysis'!K28&lt;=0,0,'Range Analysis'!J28*MAX(0,1.04-EXP(0.38*LN('Range Analysis'!K28)-0.54))))-$A$289)/('Range Analysis'!J28/2),0,1,TRUE())-NORMDIST((-('Range Analysis'!$F$6-IF('Range Analysis'!K28&lt;=0,0,'Range Analysis'!J28*MAX(0,1.04-EXP(0.38*LN('Range Analysis'!K28)-0.54))))-$A$289)/('Range Analysis'!J28/2),0,1,TRUE()))</f>
        <v>1.1064770806285489</v>
      </c>
      <c r="O289">
        <f>NORMDIST($A$289,0,'Range Analysis'!$F$8,FALSE())*(NORMDIST((('Range Analysis'!$F$6-IF('Range Analysis'!K29&lt;=0,0,'Range Analysis'!J29*MAX(0,1.04-EXP(0.38*LN('Range Analysis'!K29)-0.54))))-$A$289)/('Range Analysis'!J29/2),0,1,TRUE())-NORMDIST((-('Range Analysis'!$F$6-IF('Range Analysis'!K29&lt;=0,0,'Range Analysis'!J29*MAX(0,1.04-EXP(0.38*LN('Range Analysis'!K29)-0.54))))-$A$289)/('Range Analysis'!J29/2),0,1,TRUE()))</f>
        <v>0.48441260296554361</v>
      </c>
      <c r="P289">
        <f>NORMDIST($A$289,0,'Range Analysis'!$F$8,FALSE())*(NORMDIST((('Range Analysis'!$F$6-IF('Range Analysis'!K30&lt;=0,0,'Range Analysis'!J30*MAX(0,1.04-EXP(0.38*LN('Range Analysis'!K30)-0.54))))-$A$289)/('Range Analysis'!J30/2),0,1,TRUE())-NORMDIST((-('Range Analysis'!$F$6-IF('Range Analysis'!K30&lt;=0,0,'Range Analysis'!J30*MAX(0,1.04-EXP(0.38*LN('Range Analysis'!K30)-0.54))))-$A$289)/('Range Analysis'!J30/2),0,1,TRUE()))</f>
        <v>0.20016898914906742</v>
      </c>
      <c r="Q289">
        <f>NORMDIST($A$289,0,'Range Analysis'!$F$8,FALSE())*(NORMDIST(('Range Analysis'!$F$6-$A$289)/('Range Analysis'!J24/2),0,1,TRUE())-NORMDIST((-'Range Analysis'!$F$6-$A$289)/('Range Analysis'!J24/2),0,1,TRUE()))</f>
        <v>1.0919395743499429</v>
      </c>
      <c r="R289">
        <f>NORMDIST($A$289,0,'Range Analysis'!$F$8,FALSE())*(NORMDIST(('Range Analysis'!$F$6-$A$289)/('Range Analysis'!J25/2),0,1,TRUE())-NORMDIST((-'Range Analysis'!$F$6-$A$289)/('Range Analysis'!J25/2),0,1,TRUE()))</f>
        <v>1.1064722055306939</v>
      </c>
      <c r="S289">
        <f>NORMDIST($A$289,0,'Range Analysis'!$F$8,FALSE())*(NORMDIST(('Range Analysis'!$F$6-$A$289)/('Range Analysis'!J26/2),0,1,TRUE())-NORMDIST((-'Range Analysis'!$F$6-$A$289)/('Range Analysis'!J26/2),0,1,TRUE()))</f>
        <v>1.1064722055306939</v>
      </c>
      <c r="T289">
        <f>NORMDIST($A$289,0,'Range Analysis'!$F$8,FALSE())*(NORMDIST(('Range Analysis'!$F$6-$A$289)/('Range Analysis'!J27/2),0,1,TRUE())-NORMDIST((-'Range Analysis'!$F$6-$A$289)/('Range Analysis'!J27/2),0,1,TRUE()))</f>
        <v>1.1064770272819322</v>
      </c>
      <c r="U289">
        <f>NORMDIST($A$289,0,'Range Analysis'!$F$8,FALSE())*(NORMDIST(('Range Analysis'!$F$6-$A$289)/('Range Analysis'!J28/2),0,1,TRUE())-NORMDIST((-'Range Analysis'!$F$6-$A$289)/('Range Analysis'!J28/2),0,1,TRUE()))</f>
        <v>1.1064770806285489</v>
      </c>
      <c r="V289">
        <f>NORMDIST($A$289,0,'Range Analysis'!$F$8,FALSE())*(NORMDIST(('Range Analysis'!$F$6-$A$289)/('Range Analysis'!J29/2),0,1,TRUE())-NORMDIST((-'Range Analysis'!$F$6-$A$289)/('Range Analysis'!J29/2),0,1,TRUE()))</f>
        <v>0.94449502278764075</v>
      </c>
      <c r="W289">
        <f>NORMDIST($A$289,0,'Range Analysis'!$F$8,FALSE())*(NORMDIST((('Range Analysis'!$F$6-0)-$A$289)/('Range Analysis'!J30/2),0,1,TRUE())-NORMDIST((-('Range Analysis'!$F$6-0)-$A$289)/('Range Analysis'!J30/2),0,1,TRUE()))</f>
        <v>0.85779461011810398</v>
      </c>
    </row>
    <row r="290" spans="1:23" ht="15" customHeight="1" x14ac:dyDescent="0.25">
      <c r="A290">
        <f>-'Range Analysis'!$F$6+14*$B$275</f>
        <v>-0.14102564102564102</v>
      </c>
      <c r="C290">
        <f>NORMDIST($A$290,0,'Range Analysis'!$F$8,FALSE())*(NORMDIST((('Range Analysis'!$F$6-0.98*'Range Analysis'!J24)-$A$290)/('Range Analysis'!J24/2),0,1,TRUE())-NORMDIST((-('Range Analysis'!$F$6-0.98*'Range Analysis'!J24)-$A$290)/('Range Analysis'!J24/2),0,1,TRUE()))</f>
        <v>0.75708773237515925</v>
      </c>
      <c r="D290">
        <f>NORMDIST($A$290,0,'Range Analysis'!$F$8,FALSE())*(NORMDIST((('Range Analysis'!$F$6-0.98*'Range Analysis'!J25)-$A$290)/('Range Analysis'!J25/2),0,1,TRUE())-NORMDIST((-('Range Analysis'!$F$6-0.98*'Range Analysis'!J25)-$A$290)/('Range Analysis'!J25/2),0,1,TRUE()))</f>
        <v>1.1492705207315164</v>
      </c>
      <c r="E290">
        <f>NORMDIST($A$290,0,'Range Analysis'!$F$8,FALSE())*(NORMDIST((('Range Analysis'!$F$6-0.98*'Range Analysis'!J26)-$A$290)/('Range Analysis'!J26/2),0,1,TRUE())-NORMDIST((-('Range Analysis'!$F$6-0.98*'Range Analysis'!J26)-$A$290)/('Range Analysis'!J26/2),0,1,TRUE()))</f>
        <v>1.1492705207315164</v>
      </c>
      <c r="F290">
        <f>NORMDIST($A$290,0,'Range Analysis'!$F$8,FALSE())*(NORMDIST((('Range Analysis'!$F$6-0.98*'Range Analysis'!J27)-$A$290)/('Range Analysis'!J27/2),0,1,TRUE())-NORMDIST((-('Range Analysis'!$F$6-0.98*'Range Analysis'!J27)-$A$290)/('Range Analysis'!J27/2),0,1,TRUE()))</f>
        <v>1.1518935661481753</v>
      </c>
      <c r="G290">
        <f>NORMDIST($A$290,0,'Range Analysis'!$F$8,FALSE())*(NORMDIST((('Range Analysis'!$F$6-0.98*'Range Analysis'!J28)-$A$290)/('Range Analysis'!J28/2),0,1,TRUE())-NORMDIST((-('Range Analysis'!$F$6-0.98*'Range Analysis'!J28)-$A$290)/('Range Analysis'!J28/2),0,1,TRUE()))</f>
        <v>1.1519826043525601</v>
      </c>
      <c r="H290">
        <f>NORMDIST($A$290,0,'Range Analysis'!$F$8,FALSE())*(NORMDIST((('Range Analysis'!$F$6-0.98*'Range Analysis'!J29)-$A$290)/('Range Analysis'!J29/2),0,1,TRUE())-NORMDIST((-('Range Analysis'!$F$6-0.98*'Range Analysis'!J29)-$A$290)/('Range Analysis'!J29/2),0,1,TRUE()))</f>
        <v>-0.23874229897354898</v>
      </c>
      <c r="I290">
        <f>NORMDIST($A$290,0,'Range Analysis'!$F$8,FALSE())*(NORMDIST((('Range Analysis'!$F$6-0.98*'Range Analysis'!J30)-$A$290)/('Range Analysis'!J30/2),0,1,TRUE())-NORMDIST((-('Range Analysis'!$F$6-0.98*'Range Analysis'!J30)-$A$290)/('Range Analysis'!J30/2),0,1,TRUE()))</f>
        <v>-0.50795899910643194</v>
      </c>
      <c r="J290">
        <f>NORMDIST($A$290,0,'Range Analysis'!$F$8,FALSE())*(NORMDIST((('Range Analysis'!$F$6-IF('Range Analysis'!K24&lt;=0,0,'Range Analysis'!J24*MAX(0,1.04-EXP(0.38*LN('Range Analysis'!K24)-0.54))))-$A$290)/('Range Analysis'!J24/2),0,1,TRUE())-NORMDIST((-('Range Analysis'!$F$6-IF('Range Analysis'!K24&lt;=0,0,'Range Analysis'!J24*MAX(0,1.04-EXP(0.38*LN('Range Analysis'!K24)-0.54))))-$A$290)/('Range Analysis'!J24/2),0,1,TRUE()))</f>
        <v>1.1034648166611456</v>
      </c>
      <c r="K290">
        <f>NORMDIST($A$290,0,'Range Analysis'!$F$8,FALSE())*(NORMDIST((('Range Analysis'!$F$6-IF('Range Analysis'!K25&lt;=0,0,'Range Analysis'!J25*MAX(0,1.04-EXP(0.38*LN('Range Analysis'!K25)-0.54))))-$A$290)/('Range Analysis'!J25/2),0,1,TRUE())-NORMDIST((-('Range Analysis'!$F$6-IF('Range Analysis'!K25&lt;=0,0,'Range Analysis'!J25*MAX(0,1.04-EXP(0.38*LN('Range Analysis'!K25)-0.54))))-$A$290)/('Range Analysis'!J25/2),0,1,TRUE()))</f>
        <v>1.1519794843792073</v>
      </c>
      <c r="L290">
        <f>NORMDIST($A$290,0,'Range Analysis'!$F$8,FALSE())*(NORMDIST((('Range Analysis'!$F$6-IF('Range Analysis'!K26&lt;=0,0,'Range Analysis'!J26*MAX(0,1.04-EXP(0.38*LN('Range Analysis'!K26)-0.54))))-$A$290)/('Range Analysis'!J26/2),0,1,TRUE())-NORMDIST((-('Range Analysis'!$F$6-IF('Range Analysis'!K26&lt;=0,0,'Range Analysis'!J26*MAX(0,1.04-EXP(0.38*LN('Range Analysis'!K26)-0.54))))-$A$290)/('Range Analysis'!J26/2),0,1,TRUE()))</f>
        <v>1.1519794843792073</v>
      </c>
      <c r="M290">
        <f>NORMDIST($A$290,0,'Range Analysis'!$F$8,FALSE())*(NORMDIST((('Range Analysis'!$F$6-IF('Range Analysis'!K27&lt;=0,0,'Range Analysis'!J27*MAX(0,1.04-EXP(0.38*LN('Range Analysis'!K27)-0.54))))-$A$290)/('Range Analysis'!J27/2),0,1,TRUE())-NORMDIST((-('Range Analysis'!$F$6-IF('Range Analysis'!K27&lt;=0,0,'Range Analysis'!J27*MAX(0,1.04-EXP(0.38*LN('Range Analysis'!K27)-0.54))))-$A$290)/('Range Analysis'!J27/2),0,1,TRUE()))</f>
        <v>1.1519825944057795</v>
      </c>
      <c r="N290">
        <f>NORMDIST($A$290,0,'Range Analysis'!$F$8,FALSE())*(NORMDIST((('Range Analysis'!$F$6-IF('Range Analysis'!K28&lt;=0,0,'Range Analysis'!J28*MAX(0,1.04-EXP(0.38*LN('Range Analysis'!K28)-0.54))))-$A$290)/('Range Analysis'!J28/2),0,1,TRUE())-NORMDIST((-('Range Analysis'!$F$6-IF('Range Analysis'!K28&lt;=0,0,'Range Analysis'!J28*MAX(0,1.04-EXP(0.38*LN('Range Analysis'!K28)-0.54))))-$A$290)/('Range Analysis'!J28/2),0,1,TRUE()))</f>
        <v>1.1519826043525601</v>
      </c>
      <c r="O290">
        <f>NORMDIST($A$290,0,'Range Analysis'!$F$8,FALSE())*(NORMDIST((('Range Analysis'!$F$6-IF('Range Analysis'!K29&lt;=0,0,'Range Analysis'!J29*MAX(0,1.04-EXP(0.38*LN('Range Analysis'!K29)-0.54))))-$A$290)/('Range Analysis'!J29/2),0,1,TRUE())-NORMDIST((-('Range Analysis'!$F$6-IF('Range Analysis'!K29&lt;=0,0,'Range Analysis'!J29*MAX(0,1.04-EXP(0.38*LN('Range Analysis'!K29)-0.54))))-$A$290)/('Range Analysis'!J29/2),0,1,TRUE()))</f>
        <v>0.52367367258120867</v>
      </c>
      <c r="P290">
        <f>NORMDIST($A$290,0,'Range Analysis'!$F$8,FALSE())*(NORMDIST((('Range Analysis'!$F$6-IF('Range Analysis'!K30&lt;=0,0,'Range Analysis'!J30*MAX(0,1.04-EXP(0.38*LN('Range Analysis'!K30)-0.54))))-$A$290)/('Range Analysis'!J30/2),0,1,TRUE())-NORMDIST((-('Range Analysis'!$F$6-IF('Range Analysis'!K30&lt;=0,0,'Range Analysis'!J30*MAX(0,1.04-EXP(0.38*LN('Range Analysis'!K30)-0.54))))-$A$290)/('Range Analysis'!J30/2),0,1,TRUE()))</f>
        <v>0.21420354938829758</v>
      </c>
      <c r="Q290">
        <f>NORMDIST($A$290,0,'Range Analysis'!$F$8,FALSE())*(NORMDIST(('Range Analysis'!$F$6-$A$290)/('Range Analysis'!J24/2),0,1,TRUE())-NORMDIST((-'Range Analysis'!$F$6-$A$290)/('Range Analysis'!J24/2),0,1,TRUE()))</f>
        <v>1.1423502508298617</v>
      </c>
      <c r="R290">
        <f>NORMDIST($A$290,0,'Range Analysis'!$F$8,FALSE())*(NORMDIST(('Range Analysis'!$F$6-$A$290)/('Range Analysis'!J25/2),0,1,TRUE())-NORMDIST((-'Range Analysis'!$F$6-$A$290)/('Range Analysis'!J25/2),0,1,TRUE()))</f>
        <v>1.151981625955903</v>
      </c>
      <c r="S290">
        <f>NORMDIST($A$290,0,'Range Analysis'!$F$8,FALSE())*(NORMDIST(('Range Analysis'!$F$6-$A$290)/('Range Analysis'!J26/2),0,1,TRUE())-NORMDIST((-'Range Analysis'!$F$6-$A$290)/('Range Analysis'!J26/2),0,1,TRUE()))</f>
        <v>1.151981625955903</v>
      </c>
      <c r="T290">
        <f>NORMDIST($A$290,0,'Range Analysis'!$F$8,FALSE())*(NORMDIST(('Range Analysis'!$F$6-$A$290)/('Range Analysis'!J27/2),0,1,TRUE())-NORMDIST((-'Range Analysis'!$F$6-$A$290)/('Range Analysis'!J27/2),0,1,TRUE()))</f>
        <v>1.1519825990136849</v>
      </c>
      <c r="U290">
        <f>NORMDIST($A$290,0,'Range Analysis'!$F$8,FALSE())*(NORMDIST(('Range Analysis'!$F$6-$A$290)/('Range Analysis'!J28/2),0,1,TRUE())-NORMDIST((-'Range Analysis'!$F$6-$A$290)/('Range Analysis'!J28/2),0,1,TRUE()))</f>
        <v>1.1519826043525601</v>
      </c>
      <c r="V290">
        <f>NORMDIST($A$290,0,'Range Analysis'!$F$8,FALSE())*(NORMDIST(('Range Analysis'!$F$6-$A$290)/('Range Analysis'!J29/2),0,1,TRUE())-NORMDIST((-'Range Analysis'!$F$6-$A$290)/('Range Analysis'!J29/2),0,1,TRUE()))</f>
        <v>0.99987021905792506</v>
      </c>
      <c r="W290">
        <f>NORMDIST($A$290,0,'Range Analysis'!$F$8,FALSE())*(NORMDIST((('Range Analysis'!$F$6-0)-$A$290)/('Range Analysis'!J30/2),0,1,TRUE())-NORMDIST((-('Range Analysis'!$F$6-0)-$A$290)/('Range Analysis'!J30/2),0,1,TRUE()))</f>
        <v>0.90671968894275978</v>
      </c>
    </row>
    <row r="291" spans="1:23" ht="15" customHeight="1" x14ac:dyDescent="0.25">
      <c r="A291">
        <f>-'Range Analysis'!$F$6+15*$B$275</f>
        <v>-0.11538461538461542</v>
      </c>
      <c r="C291">
        <f>NORMDIST($A$291,0,'Range Analysis'!$F$8,FALSE())*(NORMDIST((('Range Analysis'!$F$6-0.98*'Range Analysis'!J24)-$A$291)/('Range Analysis'!J24/2),0,1,TRUE())-NORMDIST((-('Range Analysis'!$F$6-0.98*'Range Analysis'!J24)-$A$291)/('Range Analysis'!J24/2),0,1,TRUE()))</f>
        <v>0.84708133451709644</v>
      </c>
      <c r="D291">
        <f>NORMDIST($A$291,0,'Range Analysis'!$F$8,FALSE())*(NORMDIST((('Range Analysis'!$F$6-0.98*'Range Analysis'!J25)-$A$291)/('Range Analysis'!J25/2),0,1,TRUE())-NORMDIST((-('Range Analysis'!$F$6-0.98*'Range Analysis'!J25)-$A$291)/('Range Analysis'!J25/2),0,1,TRUE()))</f>
        <v>1.1904166002576908</v>
      </c>
      <c r="E291">
        <f>NORMDIST($A$291,0,'Range Analysis'!$F$8,FALSE())*(NORMDIST((('Range Analysis'!$F$6-0.98*'Range Analysis'!J26)-$A$291)/('Range Analysis'!J26/2),0,1,TRUE())-NORMDIST((-('Range Analysis'!$F$6-0.98*'Range Analysis'!J26)-$A$291)/('Range Analysis'!J26/2),0,1,TRUE()))</f>
        <v>1.1904166002576908</v>
      </c>
      <c r="F291">
        <f>NORMDIST($A$291,0,'Range Analysis'!$F$8,FALSE())*(NORMDIST((('Range Analysis'!$F$6-0.98*'Range Analysis'!J27)-$A$291)/('Range Analysis'!J27/2),0,1,TRUE())-NORMDIST((-('Range Analysis'!$F$6-0.98*'Range Analysis'!J27)-$A$291)/('Range Analysis'!J27/2),0,1,TRUE()))</f>
        <v>1.1913139141226574</v>
      </c>
      <c r="G291">
        <f>NORMDIST($A$291,0,'Range Analysis'!$F$8,FALSE())*(NORMDIST((('Range Analysis'!$F$6-0.98*'Range Analysis'!J28)-$A$291)/('Range Analysis'!J28/2),0,1,TRUE())-NORMDIST((-('Range Analysis'!$F$6-0.98*'Range Analysis'!J28)-$A$291)/('Range Analysis'!J28/2),0,1,TRUE()))</f>
        <v>1.1913302510743775</v>
      </c>
      <c r="H291">
        <f>NORMDIST($A$291,0,'Range Analysis'!$F$8,FALSE())*(NORMDIST((('Range Analysis'!$F$6-0.98*'Range Analysis'!J29)-$A$291)/('Range Analysis'!J29/2),0,1,TRUE())-NORMDIST((-('Range Analysis'!$F$6-0.98*'Range Analysis'!J29)-$A$291)/('Range Analysis'!J29/2),0,1,TRUE()))</f>
        <v>-0.25581688858244161</v>
      </c>
      <c r="I291">
        <f>NORMDIST($A$291,0,'Range Analysis'!$F$8,FALSE())*(NORMDIST((('Range Analysis'!$F$6-0.98*'Range Analysis'!J30)-$A$291)/('Range Analysis'!J30/2),0,1,TRUE())-NORMDIST((-('Range Analysis'!$F$6-0.98*'Range Analysis'!J30)-$A$291)/('Range Analysis'!J30/2),0,1,TRUE()))</f>
        <v>-0.53617920098091665</v>
      </c>
      <c r="J291">
        <f>NORMDIST($A$291,0,'Range Analysis'!$F$8,FALSE())*(NORMDIST((('Range Analysis'!$F$6-IF('Range Analysis'!K24&lt;=0,0,'Range Analysis'!J24*MAX(0,1.04-EXP(0.38*LN('Range Analysis'!K24)-0.54))))-$A$291)/('Range Analysis'!J24/2),0,1,TRUE())-NORMDIST((-('Range Analysis'!$F$6-IF('Range Analysis'!K24&lt;=0,0,'Range Analysis'!J24*MAX(0,1.04-EXP(0.38*LN('Range Analysis'!K24)-0.54))))-$A$291)/('Range Analysis'!J24/2),0,1,TRUE()))</f>
        <v>1.1567142894516014</v>
      </c>
      <c r="K291">
        <f>NORMDIST($A$291,0,'Range Analysis'!$F$8,FALSE())*(NORMDIST((('Range Analysis'!$F$6-IF('Range Analysis'!K25&lt;=0,0,'Range Analysis'!J25*MAX(0,1.04-EXP(0.38*LN('Range Analysis'!K25)-0.54))))-$A$291)/('Range Analysis'!J25/2),0,1,TRUE())-NORMDIST((-('Range Analysis'!$F$6-IF('Range Analysis'!K25&lt;=0,0,'Range Analysis'!J25*MAX(0,1.04-EXP(0.38*LN('Range Analysis'!K25)-0.54))))-$A$291)/('Range Analysis'!J25/2),0,1,TRUE()))</f>
        <v>1.1913296499589376</v>
      </c>
      <c r="L291">
        <f>NORMDIST($A$291,0,'Range Analysis'!$F$8,FALSE())*(NORMDIST((('Range Analysis'!$F$6-IF('Range Analysis'!K26&lt;=0,0,'Range Analysis'!J26*MAX(0,1.04-EXP(0.38*LN('Range Analysis'!K26)-0.54))))-$A$291)/('Range Analysis'!J26/2),0,1,TRUE())-NORMDIST((-('Range Analysis'!$F$6-IF('Range Analysis'!K26&lt;=0,0,'Range Analysis'!J26*MAX(0,1.04-EXP(0.38*LN('Range Analysis'!K26)-0.54))))-$A$291)/('Range Analysis'!J26/2),0,1,TRUE()))</f>
        <v>1.1913296499589376</v>
      </c>
      <c r="M291">
        <f>NORMDIST($A$291,0,'Range Analysis'!$F$8,FALSE())*(NORMDIST((('Range Analysis'!$F$6-IF('Range Analysis'!K27&lt;=0,0,'Range Analysis'!J27*MAX(0,1.04-EXP(0.38*LN('Range Analysis'!K27)-0.54))))-$A$291)/('Range Analysis'!J27/2),0,1,TRUE())-NORMDIST((-('Range Analysis'!$F$6-IF('Range Analysis'!K27&lt;=0,0,'Range Analysis'!J27*MAX(0,1.04-EXP(0.38*LN('Range Analysis'!K27)-0.54))))-$A$291)/('Range Analysis'!J27/2),0,1,TRUE()))</f>
        <v>1.1913302501986534</v>
      </c>
      <c r="N291">
        <f>NORMDIST($A$291,0,'Range Analysis'!$F$8,FALSE())*(NORMDIST((('Range Analysis'!$F$6-IF('Range Analysis'!K28&lt;=0,0,'Range Analysis'!J28*MAX(0,1.04-EXP(0.38*LN('Range Analysis'!K28)-0.54))))-$A$291)/('Range Analysis'!J28/2),0,1,TRUE())-NORMDIST((-('Range Analysis'!$F$6-IF('Range Analysis'!K28&lt;=0,0,'Range Analysis'!J28*MAX(0,1.04-EXP(0.38*LN('Range Analysis'!K28)-0.54))))-$A$291)/('Range Analysis'!J28/2),0,1,TRUE()))</f>
        <v>1.1913302510743775</v>
      </c>
      <c r="O291">
        <f>NORMDIST($A$291,0,'Range Analysis'!$F$8,FALSE())*(NORMDIST((('Range Analysis'!$F$6-IF('Range Analysis'!K29&lt;=0,0,'Range Analysis'!J29*MAX(0,1.04-EXP(0.38*LN('Range Analysis'!K29)-0.54))))-$A$291)/('Range Analysis'!J29/2),0,1,TRUE())-NORMDIST((-('Range Analysis'!$F$6-IF('Range Analysis'!K29&lt;=0,0,'Range Analysis'!J29*MAX(0,1.04-EXP(0.38*LN('Range Analysis'!K29)-0.54))))-$A$291)/('Range Analysis'!J29/2),0,1,TRUE()))</f>
        <v>0.55880507665881096</v>
      </c>
      <c r="P291">
        <f>NORMDIST($A$291,0,'Range Analysis'!$F$8,FALSE())*(NORMDIST((('Range Analysis'!$F$6-IF('Range Analysis'!K30&lt;=0,0,'Range Analysis'!J30*MAX(0,1.04-EXP(0.38*LN('Range Analysis'!K30)-0.54))))-$A$291)/('Range Analysis'!J30/2),0,1,TRUE())-NORMDIST((-('Range Analysis'!$F$6-IF('Range Analysis'!K30&lt;=0,0,'Range Analysis'!J30*MAX(0,1.04-EXP(0.38*LN('Range Analysis'!K30)-0.54))))-$A$291)/('Range Analysis'!J30/2),0,1,TRUE()))</f>
        <v>0.22664779907575042</v>
      </c>
      <c r="Q291">
        <f>NORMDIST($A$291,0,'Range Analysis'!$F$8,FALSE())*(NORMDIST(('Range Analysis'!$F$6-$A$291)/('Range Analysis'!J24/2),0,1,TRUE())-NORMDIST((-'Range Analysis'!$F$6-$A$291)/('Range Analysis'!J24/2),0,1,TRUE()))</f>
        <v>1.1851441753078815</v>
      </c>
      <c r="R291">
        <f>NORMDIST($A$291,0,'Range Analysis'!$F$8,FALSE())*(NORMDIST(('Range Analysis'!$F$6-$A$291)/('Range Analysis'!J25/2),0,1,TRUE())-NORMDIST((-'Range Analysis'!$F$6-$A$291)/('Range Analysis'!J25/2),0,1,TRUE()))</f>
        <v>1.1913300768318327</v>
      </c>
      <c r="S291">
        <f>NORMDIST($A$291,0,'Range Analysis'!$F$8,FALSE())*(NORMDIST(('Range Analysis'!$F$6-$A$291)/('Range Analysis'!J26/2),0,1,TRUE())-NORMDIST((-'Range Analysis'!$F$6-$A$291)/('Range Analysis'!J26/2),0,1,TRUE()))</f>
        <v>1.1913300768318327</v>
      </c>
      <c r="T291">
        <f>NORMDIST($A$291,0,'Range Analysis'!$F$8,FALSE())*(NORMDIST(('Range Analysis'!$F$6-$A$291)/('Range Analysis'!J27/2),0,1,TRUE())-NORMDIST((-'Range Analysis'!$F$6-$A$291)/('Range Analysis'!J27/2),0,1,TRUE()))</f>
        <v>1.1913302506238996</v>
      </c>
      <c r="U291">
        <f>NORMDIST($A$291,0,'Range Analysis'!$F$8,FALSE())*(NORMDIST(('Range Analysis'!$F$6-$A$291)/('Range Analysis'!J28/2),0,1,TRUE())-NORMDIST((-'Range Analysis'!$F$6-$A$291)/('Range Analysis'!J28/2),0,1,TRUE()))</f>
        <v>1.1913302510743775</v>
      </c>
      <c r="V291">
        <f>NORMDIST($A$291,0,'Range Analysis'!$F$8,FALSE())*(NORMDIST(('Range Analysis'!$F$6-$A$291)/('Range Analysis'!J29/2),0,1,TRUE())-NORMDIST((-'Range Analysis'!$F$6-$A$291)/('Range Analysis'!J29/2),0,1,TRUE()))</f>
        <v>1.0483324121855571</v>
      </c>
      <c r="W291">
        <f>NORMDIST($A$291,0,'Range Analysis'!$F$8,FALSE())*(NORMDIST((('Range Analysis'!$F$6-0)-$A$291)/('Range Analysis'!J30/2),0,1,TRUE())-NORMDIST((-('Range Analysis'!$F$6-0)-$A$291)/('Range Analysis'!J30/2),0,1,TRUE()))</f>
        <v>0.94957782367246113</v>
      </c>
    </row>
    <row r="292" spans="1:23" ht="15" customHeight="1" x14ac:dyDescent="0.25">
      <c r="A292">
        <f>-'Range Analysis'!$F$6+16*$B$275</f>
        <v>-8.9743589743589758E-2</v>
      </c>
      <c r="C292">
        <f>NORMDIST($A$292,0,'Range Analysis'!$F$8,FALSE())*(NORMDIST((('Range Analysis'!$F$6-0.98*'Range Analysis'!J24)-$A$292)/('Range Analysis'!J24/2),0,1,TRUE())-NORMDIST((-('Range Analysis'!$F$6-0.98*'Range Analysis'!J24)-$A$292)/('Range Analysis'!J24/2),0,1,TRUE()))</f>
        <v>0.9258051338336305</v>
      </c>
      <c r="D292">
        <f>NORMDIST($A$292,0,'Range Analysis'!$F$8,FALSE())*(NORMDIST((('Range Analysis'!$F$6-0.98*'Range Analysis'!J25)-$A$292)/('Range Analysis'!J25/2),0,1,TRUE())-NORMDIST((-('Range Analysis'!$F$6-0.98*'Range Analysis'!J25)-$A$292)/('Range Analysis'!J25/2),0,1,TRUE()))</f>
        <v>1.2234997454749588</v>
      </c>
      <c r="E292">
        <f>NORMDIST($A$292,0,'Range Analysis'!$F$8,FALSE())*(NORMDIST((('Range Analysis'!$F$6-0.98*'Range Analysis'!J26)-$A$292)/('Range Analysis'!J26/2),0,1,TRUE())-NORMDIST((-('Range Analysis'!$F$6-0.98*'Range Analysis'!J26)-$A$292)/('Range Analysis'!J26/2),0,1,TRUE()))</f>
        <v>1.2234997454749588</v>
      </c>
      <c r="F292">
        <f>NORMDIST($A$292,0,'Range Analysis'!$F$8,FALSE())*(NORMDIST((('Range Analysis'!$F$6-0.98*'Range Analysis'!J27)-$A$292)/('Range Analysis'!J27/2),0,1,TRUE())-NORMDIST((-('Range Analysis'!$F$6-0.98*'Range Analysis'!J27)-$A$292)/('Range Analysis'!J27/2),0,1,TRUE()))</f>
        <v>1.2237713154297196</v>
      </c>
      <c r="G292">
        <f>NORMDIST($A$292,0,'Range Analysis'!$F$8,FALSE())*(NORMDIST((('Range Analysis'!$F$6-0.98*'Range Analysis'!J28)-$A$292)/('Range Analysis'!J28/2),0,1,TRUE())-NORMDIST((-('Range Analysis'!$F$6-0.98*'Range Analysis'!J28)-$A$292)/('Range Analysis'!J28/2),0,1,TRUE()))</f>
        <v>1.2237738501608664</v>
      </c>
      <c r="H292">
        <f>NORMDIST($A$292,0,'Range Analysis'!$F$8,FALSE())*(NORMDIST((('Range Analysis'!$F$6-0.98*'Range Analysis'!J29)-$A$292)/('Range Analysis'!J29/2),0,1,TRUE())-NORMDIST((-('Range Analysis'!$F$6-0.98*'Range Analysis'!J29)-$A$292)/('Range Analysis'!J29/2),0,1,TRUE()))</f>
        <v>-0.27035160526581098</v>
      </c>
      <c r="I292">
        <f>NORMDIST($A$292,0,'Range Analysis'!$F$8,FALSE())*(NORMDIST((('Range Analysis'!$F$6-0.98*'Range Analysis'!J30)-$A$292)/('Range Analysis'!J30/2),0,1,TRUE())-NORMDIST((-('Range Analysis'!$F$6-0.98*'Range Analysis'!J30)-$A$292)/('Range Analysis'!J30/2),0,1,TRUE()))</f>
        <v>-0.55987877961709198</v>
      </c>
      <c r="J292">
        <f>NORMDIST($A$292,0,'Range Analysis'!$F$8,FALSE())*(NORMDIST((('Range Analysis'!$F$6-IF('Range Analysis'!K24&lt;=0,0,'Range Analysis'!J24*MAX(0,1.04-EXP(0.38*LN('Range Analysis'!K24)-0.54))))-$A$292)/('Range Analysis'!J24/2),0,1,TRUE())-NORMDIST((-('Range Analysis'!$F$6-IF('Range Analysis'!K24&lt;=0,0,'Range Analysis'!J24*MAX(0,1.04-EXP(0.38*LN('Range Analysis'!K24)-0.54))))-$A$292)/('Range Analysis'!J24/2),0,1,TRUE()))</f>
        <v>1.1995929332306512</v>
      </c>
      <c r="K292">
        <f>NORMDIST($A$292,0,'Range Analysis'!$F$8,FALSE())*(NORMDIST((('Range Analysis'!$F$6-IF('Range Analysis'!K25&lt;=0,0,'Range Analysis'!J25*MAX(0,1.04-EXP(0.38*LN('Range Analysis'!K25)-0.54))))-$A$292)/('Range Analysis'!J25/2),0,1,TRUE())-NORMDIST((-('Range Analysis'!$F$6-IF('Range Analysis'!K25&lt;=0,0,'Range Analysis'!J25*MAX(0,1.04-EXP(0.38*LN('Range Analysis'!K25)-0.54))))-$A$292)/('Range Analysis'!J25/2),0,1,TRUE()))</f>
        <v>1.2237737474039765</v>
      </c>
      <c r="L292">
        <f>NORMDIST($A$292,0,'Range Analysis'!$F$8,FALSE())*(NORMDIST((('Range Analysis'!$F$6-IF('Range Analysis'!K26&lt;=0,0,'Range Analysis'!J26*MAX(0,1.04-EXP(0.38*LN('Range Analysis'!K26)-0.54))))-$A$292)/('Range Analysis'!J26/2),0,1,TRUE())-NORMDIST((-('Range Analysis'!$F$6-IF('Range Analysis'!K26&lt;=0,0,'Range Analysis'!J26*MAX(0,1.04-EXP(0.38*LN('Range Analysis'!K26)-0.54))))-$A$292)/('Range Analysis'!J26/2),0,1,TRUE()))</f>
        <v>1.2237737474039765</v>
      </c>
      <c r="M292">
        <f>NORMDIST($A$292,0,'Range Analysis'!$F$8,FALSE())*(NORMDIST((('Range Analysis'!$F$6-IF('Range Analysis'!K27&lt;=0,0,'Range Analysis'!J27*MAX(0,1.04-EXP(0.38*LN('Range Analysis'!K27)-0.54))))-$A$292)/('Range Analysis'!J27/2),0,1,TRUE())-NORMDIST((-('Range Analysis'!$F$6-IF('Range Analysis'!K27&lt;=0,0,'Range Analysis'!J27*MAX(0,1.04-EXP(0.38*LN('Range Analysis'!K27)-0.54))))-$A$292)/('Range Analysis'!J27/2),0,1,TRUE()))</f>
        <v>1.2237738500958877</v>
      </c>
      <c r="N292">
        <f>NORMDIST($A$292,0,'Range Analysis'!$F$8,FALSE())*(NORMDIST((('Range Analysis'!$F$6-IF('Range Analysis'!K28&lt;=0,0,'Range Analysis'!J28*MAX(0,1.04-EXP(0.38*LN('Range Analysis'!K28)-0.54))))-$A$292)/('Range Analysis'!J28/2),0,1,TRUE())-NORMDIST((-('Range Analysis'!$F$6-IF('Range Analysis'!K28&lt;=0,0,'Range Analysis'!J28*MAX(0,1.04-EXP(0.38*LN('Range Analysis'!K28)-0.54))))-$A$292)/('Range Analysis'!J28/2),0,1,TRUE()))</f>
        <v>1.2237738501608664</v>
      </c>
      <c r="O292">
        <f>NORMDIST($A$292,0,'Range Analysis'!$F$8,FALSE())*(NORMDIST((('Range Analysis'!$F$6-IF('Range Analysis'!K29&lt;=0,0,'Range Analysis'!J29*MAX(0,1.04-EXP(0.38*LN('Range Analysis'!K29)-0.54))))-$A$292)/('Range Analysis'!J29/2),0,1,TRUE())-NORMDIST((-('Range Analysis'!$F$6-IF('Range Analysis'!K29&lt;=0,0,'Range Analysis'!J29*MAX(0,1.04-EXP(0.38*LN('Range Analysis'!K29)-0.54))))-$A$292)/('Range Analysis'!J29/2),0,1,TRUE()))</f>
        <v>0.5885953843561148</v>
      </c>
      <c r="P292">
        <f>NORMDIST($A$292,0,'Range Analysis'!$F$8,FALSE())*(NORMDIST((('Range Analysis'!$F$6-IF('Range Analysis'!K30&lt;=0,0,'Range Analysis'!J30*MAX(0,1.04-EXP(0.38*LN('Range Analysis'!K30)-0.54))))-$A$292)/('Range Analysis'!J30/2),0,1,TRUE())-NORMDIST((-('Range Analysis'!$F$6-IF('Range Analysis'!K30&lt;=0,0,'Range Analysis'!J30*MAX(0,1.04-EXP(0.38*LN('Range Analysis'!K30)-0.54))))-$A$292)/('Range Analysis'!J30/2),0,1,TRUE()))</f>
        <v>0.23712172767482376</v>
      </c>
      <c r="Q292">
        <f>NORMDIST($A$292,0,'Range Analysis'!$F$8,FALSE())*(NORMDIST(('Range Analysis'!$F$6-$A$292)/('Range Analysis'!J24/2),0,1,TRUE())-NORMDIST((-'Range Analysis'!$F$6-$A$292)/('Range Analysis'!J24/2),0,1,TRUE()))</f>
        <v>1.2199057508128082</v>
      </c>
      <c r="R292">
        <f>NORMDIST($A$292,0,'Range Analysis'!$F$8,FALSE())*(NORMDIST(('Range Analysis'!$F$6-$A$292)/('Range Analysis'!J25/2),0,1,TRUE())-NORMDIST((-'Range Analysis'!$F$6-$A$292)/('Range Analysis'!J25/2),0,1,TRUE()))</f>
        <v>1.2237738226370518</v>
      </c>
      <c r="S292">
        <f>NORMDIST($A$292,0,'Range Analysis'!$F$8,FALSE())*(NORMDIST(('Range Analysis'!$F$6-$A$292)/('Range Analysis'!J26/2),0,1,TRUE())-NORMDIST((-'Range Analysis'!$F$6-$A$292)/('Range Analysis'!J26/2),0,1,TRUE()))</f>
        <v>1.2237738226370518</v>
      </c>
      <c r="T292">
        <f>NORMDIST($A$292,0,'Range Analysis'!$F$8,FALSE())*(NORMDIST(('Range Analysis'!$F$6-$A$292)/('Range Analysis'!J27/2),0,1,TRUE())-NORMDIST((-'Range Analysis'!$F$6-$A$292)/('Range Analysis'!J27/2),0,1,TRUE()))</f>
        <v>1.2237738501288358</v>
      </c>
      <c r="U292">
        <f>NORMDIST($A$292,0,'Range Analysis'!$F$8,FALSE())*(NORMDIST(('Range Analysis'!$F$6-$A$292)/('Range Analysis'!J28/2),0,1,TRUE())-NORMDIST((-'Range Analysis'!$F$6-$A$292)/('Range Analysis'!J28/2),0,1,TRUE()))</f>
        <v>1.2237738501608664</v>
      </c>
      <c r="V292">
        <f>NORMDIST($A$292,0,'Range Analysis'!$F$8,FALSE())*(NORMDIST(('Range Analysis'!$F$6-$A$292)/('Range Analysis'!J29/2),0,1,TRUE())-NORMDIST((-'Range Analysis'!$F$6-$A$292)/('Range Analysis'!J29/2),0,1,TRUE()))</f>
        <v>1.0886800600394819</v>
      </c>
      <c r="W292">
        <f>NORMDIST($A$292,0,'Range Analysis'!$F$8,FALSE())*(NORMDIST((('Range Analysis'!$F$6-0)-$A$292)/('Range Analysis'!J30/2),0,1,TRUE())-NORMDIST((-('Range Analysis'!$F$6-0)-$A$292)/('Range Analysis'!J30/2),0,1,TRUE()))</f>
        <v>0.98529247317254931</v>
      </c>
    </row>
    <row r="293" spans="1:23" ht="15" customHeight="1" x14ac:dyDescent="0.25">
      <c r="A293">
        <f>-'Range Analysis'!$F$6+17*$B$275</f>
        <v>-6.4102564102564097E-2</v>
      </c>
      <c r="C293">
        <f>NORMDIST($A$293,0,'Range Analysis'!$F$8,FALSE())*(NORMDIST((('Range Analysis'!$F$6-0.98*'Range Analysis'!J24)-$A$293)/('Range Analysis'!J24/2),0,1,TRUE())-NORMDIST((-('Range Analysis'!$F$6-0.98*'Range Analysis'!J24)-$A$293)/('Range Analysis'!J24/2),0,1,TRUE()))</f>
        <v>0.98901473689240882</v>
      </c>
      <c r="D293">
        <f>NORMDIST($A$293,0,'Range Analysis'!$F$8,FALSE())*(NORMDIST((('Range Analysis'!$F$6-0.98*'Range Analysis'!J25)-$A$293)/('Range Analysis'!J25/2),0,1,TRUE())-NORMDIST((-('Range Analysis'!$F$6-0.98*'Range Analysis'!J25)-$A$293)/('Range Analysis'!J25/2),0,1,TRUE()))</f>
        <v>1.248611894315558</v>
      </c>
      <c r="E293">
        <f>NORMDIST($A$293,0,'Range Analysis'!$F$8,FALSE())*(NORMDIST((('Range Analysis'!$F$6-0.98*'Range Analysis'!J26)-$A$293)/('Range Analysis'!J26/2),0,1,TRUE())-NORMDIST((-('Range Analysis'!$F$6-0.98*'Range Analysis'!J26)-$A$293)/('Range Analysis'!J26/2),0,1,TRUE()))</f>
        <v>1.248611894315558</v>
      </c>
      <c r="F293">
        <f>NORMDIST($A$293,0,'Range Analysis'!$F$8,FALSE())*(NORMDIST((('Range Analysis'!$F$6-0.98*'Range Analysis'!J27)-$A$293)/('Range Analysis'!J27/2),0,1,TRUE())-NORMDIST((-('Range Analysis'!$F$6-0.98*'Range Analysis'!J27)-$A$293)/('Range Analysis'!J27/2),0,1,TRUE()))</f>
        <v>1.2486847351380699</v>
      </c>
      <c r="G293">
        <f>NORMDIST($A$293,0,'Range Analysis'!$F$8,FALSE())*(NORMDIST((('Range Analysis'!$F$6-0.98*'Range Analysis'!J28)-$A$293)/('Range Analysis'!J28/2),0,1,TRUE())-NORMDIST((-('Range Analysis'!$F$6-0.98*'Range Analysis'!J28)-$A$293)/('Range Analysis'!J28/2),0,1,TRUE()))</f>
        <v>1.248685067355245</v>
      </c>
      <c r="H293">
        <f>NORMDIST($A$293,0,'Range Analysis'!$F$8,FALSE())*(NORMDIST((('Range Analysis'!$F$6-0.98*'Range Analysis'!J29)-$A$293)/('Range Analysis'!J29/2),0,1,TRUE())-NORMDIST((-('Range Analysis'!$F$6-0.98*'Range Analysis'!J29)-$A$293)/('Range Analysis'!J29/2),0,1,TRUE()))</f>
        <v>-0.28179201359536538</v>
      </c>
      <c r="I293">
        <f>NORMDIST($A$293,0,'Range Analysis'!$F$8,FALSE())*(NORMDIST((('Range Analysis'!$F$6-0.98*'Range Analysis'!J30)-$A$293)/('Range Analysis'!J30/2),0,1,TRUE())-NORMDIST((-('Range Analysis'!$F$6-0.98*'Range Analysis'!J30)-$A$293)/('Range Analysis'!J30/2),0,1,TRUE()))</f>
        <v>-0.57833763658339832</v>
      </c>
      <c r="J293">
        <f>NORMDIST($A$293,0,'Range Analysis'!$F$8,FALSE())*(NORMDIST((('Range Analysis'!$F$6-IF('Range Analysis'!K24&lt;=0,0,'Range Analysis'!J24*MAX(0,1.04-EXP(0.38*LN('Range Analysis'!K24)-0.54))))-$A$293)/('Range Analysis'!J24/2),0,1,TRUE())-NORMDIST((-('Range Analysis'!$F$6-IF('Range Analysis'!K24&lt;=0,0,'Range Analysis'!J24*MAX(0,1.04-EXP(0.38*LN('Range Analysis'!K24)-0.54))))-$A$293)/('Range Analysis'!J24/2),0,1,TRUE()))</f>
        <v>1.2318418623419625</v>
      </c>
      <c r="K293">
        <f>NORMDIST($A$293,0,'Range Analysis'!$F$8,FALSE())*(NORMDIST((('Range Analysis'!$F$6-IF('Range Analysis'!K25&lt;=0,0,'Range Analysis'!J25*MAX(0,1.04-EXP(0.38*LN('Range Analysis'!K25)-0.54))))-$A$293)/('Range Analysis'!J25/2),0,1,TRUE())-NORMDIST((-('Range Analysis'!$F$6-IF('Range Analysis'!K25&lt;=0,0,'Range Analysis'!J25*MAX(0,1.04-EXP(0.38*LN('Range Analysis'!K25)-0.54))))-$A$293)/('Range Analysis'!J25/2),0,1,TRUE()))</f>
        <v>1.248685051776508</v>
      </c>
      <c r="L293">
        <f>NORMDIST($A$293,0,'Range Analysis'!$F$8,FALSE())*(NORMDIST((('Range Analysis'!$F$6-IF('Range Analysis'!K26&lt;=0,0,'Range Analysis'!J26*MAX(0,1.04-EXP(0.38*LN('Range Analysis'!K26)-0.54))))-$A$293)/('Range Analysis'!J26/2),0,1,TRUE())-NORMDIST((-('Range Analysis'!$F$6-IF('Range Analysis'!K26&lt;=0,0,'Range Analysis'!J26*MAX(0,1.04-EXP(0.38*LN('Range Analysis'!K26)-0.54))))-$A$293)/('Range Analysis'!J26/2),0,1,TRUE()))</f>
        <v>1.248685051776508</v>
      </c>
      <c r="M293">
        <f>NORMDIST($A$293,0,'Range Analysis'!$F$8,FALSE())*(NORMDIST((('Range Analysis'!$F$6-IF('Range Analysis'!K27&lt;=0,0,'Range Analysis'!J27*MAX(0,1.04-EXP(0.38*LN('Range Analysis'!K27)-0.54))))-$A$293)/('Range Analysis'!J27/2),0,1,TRUE())-NORMDIST((-('Range Analysis'!$F$6-IF('Range Analysis'!K27&lt;=0,0,'Range Analysis'!J27*MAX(0,1.04-EXP(0.38*LN('Range Analysis'!K27)-0.54))))-$A$293)/('Range Analysis'!J27/2),0,1,TRUE()))</f>
        <v>1.2486850673511833</v>
      </c>
      <c r="N293">
        <f>NORMDIST($A$293,0,'Range Analysis'!$F$8,FALSE())*(NORMDIST((('Range Analysis'!$F$6-IF('Range Analysis'!K28&lt;=0,0,'Range Analysis'!J28*MAX(0,1.04-EXP(0.38*LN('Range Analysis'!K28)-0.54))))-$A$293)/('Range Analysis'!J28/2),0,1,TRUE())-NORMDIST((-('Range Analysis'!$F$6-IF('Range Analysis'!K28&lt;=0,0,'Range Analysis'!J28*MAX(0,1.04-EXP(0.38*LN('Range Analysis'!K28)-0.54))))-$A$293)/('Range Analysis'!J28/2),0,1,TRUE()))</f>
        <v>1.248685067355245</v>
      </c>
      <c r="O293">
        <f>NORMDIST($A$293,0,'Range Analysis'!$F$8,FALSE())*(NORMDIST((('Range Analysis'!$F$6-IF('Range Analysis'!K29&lt;=0,0,'Range Analysis'!J29*MAX(0,1.04-EXP(0.38*LN('Range Analysis'!K29)-0.54))))-$A$293)/('Range Analysis'!J29/2),0,1,TRUE())-NORMDIST((-('Range Analysis'!$F$6-IF('Range Analysis'!K29&lt;=0,0,'Range Analysis'!J29*MAX(0,1.04-EXP(0.38*LN('Range Analysis'!K29)-0.54))))-$A$293)/('Range Analysis'!J29/2),0,1,TRUE()))</f>
        <v>0.61197315940594821</v>
      </c>
      <c r="P293">
        <f>NORMDIST($A$293,0,'Range Analysis'!$F$8,FALSE())*(NORMDIST((('Range Analysis'!$F$6-IF('Range Analysis'!K30&lt;=0,0,'Range Analysis'!J30*MAX(0,1.04-EXP(0.38*LN('Range Analysis'!K30)-0.54))))-$A$293)/('Range Analysis'!J30/2),0,1,TRUE())-NORMDIST((-('Range Analysis'!$F$6-IF('Range Analysis'!K30&lt;=0,0,'Range Analysis'!J30*MAX(0,1.04-EXP(0.38*LN('Range Analysis'!K30)-0.54))))-$A$293)/('Range Analysis'!J30/2),0,1,TRUE()))</f>
        <v>0.24529359962719183</v>
      </c>
      <c r="Q293">
        <f>NORMDIST($A$293,0,'Range Analysis'!$F$8,FALSE())*(NORMDIST(('Range Analysis'!$F$6-$A$293)/('Range Analysis'!J24/2),0,1,TRUE())-NORMDIST((-'Range Analysis'!$F$6-$A$293)/('Range Analysis'!J24/2),0,1,TRUE()))</f>
        <v>1.2462935457386135</v>
      </c>
      <c r="R293">
        <f>NORMDIST($A$293,0,'Range Analysis'!$F$8,FALSE())*(NORMDIST(('Range Analysis'!$F$6-$A$293)/('Range Analysis'!J25/2),0,1,TRUE())-NORMDIST((-'Range Analysis'!$F$6-$A$293)/('Range Analysis'!J25/2),0,1,TRUE()))</f>
        <v>1.2486850635003048</v>
      </c>
      <c r="S293">
        <f>NORMDIST($A$293,0,'Range Analysis'!$F$8,FALSE())*(NORMDIST(('Range Analysis'!$F$6-$A$293)/('Range Analysis'!J26/2),0,1,TRUE())-NORMDIST((-'Range Analysis'!$F$6-$A$293)/('Range Analysis'!J26/2),0,1,TRUE()))</f>
        <v>1.2486850635003048</v>
      </c>
      <c r="T293">
        <f>NORMDIST($A$293,0,'Range Analysis'!$F$8,FALSE())*(NORMDIST(('Range Analysis'!$F$6-$A$293)/('Range Analysis'!J27/2),0,1,TRUE())-NORMDIST((-'Range Analysis'!$F$6-$A$293)/('Range Analysis'!J27/2),0,1,TRUE()))</f>
        <v>1.2486850673533265</v>
      </c>
      <c r="U293">
        <f>NORMDIST($A$293,0,'Range Analysis'!$F$8,FALSE())*(NORMDIST(('Range Analysis'!$F$6-$A$293)/('Range Analysis'!J28/2),0,1,TRUE())-NORMDIST((-'Range Analysis'!$F$6-$A$293)/('Range Analysis'!J28/2),0,1,TRUE()))</f>
        <v>1.248685067355245</v>
      </c>
      <c r="V293">
        <f>NORMDIST($A$293,0,'Range Analysis'!$F$8,FALSE())*(NORMDIST(('Range Analysis'!$F$6-$A$293)/('Range Analysis'!J29/2),0,1,TRUE())-NORMDIST((-'Range Analysis'!$F$6-$A$293)/('Range Analysis'!J29/2),0,1,TRUE()))</f>
        <v>1.1198909282130922</v>
      </c>
      <c r="W293">
        <f>NORMDIST($A$293,0,'Range Analysis'!$F$8,FALSE())*(NORMDIST((('Range Analysis'!$F$6-0)-$A$293)/('Range Analysis'!J30/2),0,1,TRUE())-NORMDIST((-('Range Analysis'!$F$6-0)-$A$293)/('Range Analysis'!J30/2),0,1,TRUE()))</f>
        <v>1.0129415943040918</v>
      </c>
    </row>
    <row r="294" spans="1:23" ht="15" customHeight="1" x14ac:dyDescent="0.25">
      <c r="A294">
        <f>-'Range Analysis'!$F$6+18*$B$275</f>
        <v>-3.8461538461538491E-2</v>
      </c>
      <c r="C294">
        <f>NORMDIST($A$294,0,'Range Analysis'!$F$8,FALSE())*(NORMDIST((('Range Analysis'!$F$6-0.98*'Range Analysis'!J24)-$A$294)/('Range Analysis'!J24/2),0,1,TRUE())-NORMDIST((-('Range Analysis'!$F$6-0.98*'Range Analysis'!J24)-$A$294)/('Range Analysis'!J24/2),0,1,TRUE()))</f>
        <v>1.0332251226533478</v>
      </c>
      <c r="D294">
        <f>NORMDIST($A$294,0,'Range Analysis'!$F$8,FALSE())*(NORMDIST((('Range Analysis'!$F$6-0.98*'Range Analysis'!J25)-$A$294)/('Range Analysis'!J25/2),0,1,TRUE())-NORMDIST((-('Range Analysis'!$F$6-0.98*'Range Analysis'!J25)-$A$294)/('Range Analysis'!J25/2),0,1,TRUE()))</f>
        <v>1.2655561630343648</v>
      </c>
      <c r="E294">
        <f>NORMDIST($A$294,0,'Range Analysis'!$F$8,FALSE())*(NORMDIST((('Range Analysis'!$F$6-0.98*'Range Analysis'!J26)-$A$294)/('Range Analysis'!J26/2),0,1,TRUE())-NORMDIST((-('Range Analysis'!$F$6-0.98*'Range Analysis'!J26)-$A$294)/('Range Analysis'!J26/2),0,1,TRUE()))</f>
        <v>1.2655561630343648</v>
      </c>
      <c r="F294">
        <f>NORMDIST($A$294,0,'Range Analysis'!$F$8,FALSE())*(NORMDIST((('Range Analysis'!$F$6-0.98*'Range Analysis'!J27)-$A$294)/('Range Analysis'!J27/2),0,1,TRUE())-NORMDIST((-('Range Analysis'!$F$6-0.98*'Range Analysis'!J27)-$A$294)/('Range Analysis'!J27/2),0,1,TRUE()))</f>
        <v>1.2655735948648439</v>
      </c>
      <c r="G294">
        <f>NORMDIST($A$294,0,'Range Analysis'!$F$8,FALSE())*(NORMDIST((('Range Analysis'!$F$6-0.98*'Range Analysis'!J28)-$A$294)/('Range Analysis'!J28/2),0,1,TRUE())-NORMDIST((-('Range Analysis'!$F$6-0.98*'Range Analysis'!J28)-$A$294)/('Range Analysis'!J28/2),0,1,TRUE()))</f>
        <v>1.2655736316346422</v>
      </c>
      <c r="H294">
        <f>NORMDIST($A$294,0,'Range Analysis'!$F$8,FALSE())*(NORMDIST((('Range Analysis'!$F$6-0.98*'Range Analysis'!J29)-$A$294)/('Range Analysis'!J29/2),0,1,TRUE())-NORMDIST((-('Range Analysis'!$F$6-0.98*'Range Analysis'!J29)-$A$294)/('Range Analysis'!J29/2),0,1,TRUE()))</f>
        <v>-0.28968663700915392</v>
      </c>
      <c r="I294">
        <f>NORMDIST($A$294,0,'Range Analysis'!$F$8,FALSE())*(NORMDIST((('Range Analysis'!$F$6-0.98*'Range Analysis'!J30)-$A$294)/('Range Analysis'!J30/2),0,1,TRUE())-NORMDIST((-('Range Analysis'!$F$6-0.98*'Range Analysis'!J30)-$A$294)/('Range Analysis'!J30/2),0,1,TRUE()))</f>
        <v>-0.59098003500751484</v>
      </c>
      <c r="J294">
        <f>NORMDIST($A$294,0,'Range Analysis'!$F$8,FALSE())*(NORMDIST((('Range Analysis'!$F$6-IF('Range Analysis'!K24&lt;=0,0,'Range Analysis'!J24*MAX(0,1.04-EXP(0.38*LN('Range Analysis'!K24)-0.54))))-$A$294)/('Range Analysis'!J24/2),0,1,TRUE())-NORMDIST((-('Range Analysis'!$F$6-IF('Range Analysis'!K24&lt;=0,0,'Range Analysis'!J24*MAX(0,1.04-EXP(0.38*LN('Range Analysis'!K24)-0.54))))-$A$294)/('Range Analysis'!J24/2),0,1,TRUE()))</f>
        <v>1.2533571243142614</v>
      </c>
      <c r="K294">
        <f>NORMDIST($A$294,0,'Range Analysis'!$F$8,FALSE())*(NORMDIST((('Range Analysis'!$F$6-IF('Range Analysis'!K25&lt;=0,0,'Range Analysis'!J25*MAX(0,1.04-EXP(0.38*LN('Range Analysis'!K25)-0.54))))-$A$294)/('Range Analysis'!J25/2),0,1,TRUE())-NORMDIST((-('Range Analysis'!$F$6-IF('Range Analysis'!K25&lt;=0,0,'Range Analysis'!J25*MAX(0,1.04-EXP(0.38*LN('Range Analysis'!K25)-0.54))))-$A$294)/('Range Analysis'!J25/2),0,1,TRUE()))</f>
        <v>1.2655736295383184</v>
      </c>
      <c r="L294">
        <f>NORMDIST($A$294,0,'Range Analysis'!$F$8,FALSE())*(NORMDIST((('Range Analysis'!$F$6-IF('Range Analysis'!K26&lt;=0,0,'Range Analysis'!J26*MAX(0,1.04-EXP(0.38*LN('Range Analysis'!K26)-0.54))))-$A$294)/('Range Analysis'!J26/2),0,1,TRUE())-NORMDIST((-('Range Analysis'!$F$6-IF('Range Analysis'!K26&lt;=0,0,'Range Analysis'!J26*MAX(0,1.04-EXP(0.38*LN('Range Analysis'!K26)-0.54))))-$A$294)/('Range Analysis'!J26/2),0,1,TRUE()))</f>
        <v>1.2655736295383184</v>
      </c>
      <c r="M294">
        <f>NORMDIST($A$294,0,'Range Analysis'!$F$8,FALSE())*(NORMDIST((('Range Analysis'!$F$6-IF('Range Analysis'!K27&lt;=0,0,'Range Analysis'!J27*MAX(0,1.04-EXP(0.38*LN('Range Analysis'!K27)-0.54))))-$A$294)/('Range Analysis'!J27/2),0,1,TRUE())-NORMDIST((-('Range Analysis'!$F$6-IF('Range Analysis'!K27&lt;=0,0,'Range Analysis'!J27*MAX(0,1.04-EXP(0.38*LN('Range Analysis'!K27)-0.54))))-$A$294)/('Range Analysis'!J27/2),0,1,TRUE()))</f>
        <v>1.2655736316344284</v>
      </c>
      <c r="N294">
        <f>NORMDIST($A$294,0,'Range Analysis'!$F$8,FALSE())*(NORMDIST((('Range Analysis'!$F$6-IF('Range Analysis'!K28&lt;=0,0,'Range Analysis'!J28*MAX(0,1.04-EXP(0.38*LN('Range Analysis'!K28)-0.54))))-$A$294)/('Range Analysis'!J28/2),0,1,TRUE())-NORMDIST((-('Range Analysis'!$F$6-IF('Range Analysis'!K28&lt;=0,0,'Range Analysis'!J28*MAX(0,1.04-EXP(0.38*LN('Range Analysis'!K28)-0.54))))-$A$294)/('Range Analysis'!J28/2),0,1,TRUE()))</f>
        <v>1.2655736316346422</v>
      </c>
      <c r="O294">
        <f>NORMDIST($A$294,0,'Range Analysis'!$F$8,FALSE())*(NORMDIST((('Range Analysis'!$F$6-IF('Range Analysis'!K29&lt;=0,0,'Range Analysis'!J29*MAX(0,1.04-EXP(0.38*LN('Range Analysis'!K29)-0.54))))-$A$294)/('Range Analysis'!J29/2),0,1,TRUE())-NORMDIST((-('Range Analysis'!$F$6-IF('Range Analysis'!K29&lt;=0,0,'Range Analysis'!J29*MAX(0,1.04-EXP(0.38*LN('Range Analysis'!K29)-0.54))))-$A$294)/('Range Analysis'!J29/2),0,1,TRUE()))</f>
        <v>0.6280706535074505</v>
      </c>
      <c r="P294">
        <f>NORMDIST($A$294,0,'Range Analysis'!$F$8,FALSE())*(NORMDIST((('Range Analysis'!$F$6-IF('Range Analysis'!K30&lt;=0,0,'Range Analysis'!J30*MAX(0,1.04-EXP(0.38*LN('Range Analysis'!K30)-0.54))))-$A$294)/('Range Analysis'!J30/2),0,1,TRUE())-NORMDIST((-('Range Analysis'!$F$6-IF('Range Analysis'!K30&lt;=0,0,'Range Analysis'!J30*MAX(0,1.04-EXP(0.38*LN('Range Analysis'!K30)-0.54))))-$A$294)/('Range Analysis'!J30/2),0,1,TRUE()))</f>
        <v>0.25089737563137449</v>
      </c>
      <c r="Q294">
        <f>NORMDIST($A$294,0,'Range Analysis'!$F$8,FALSE())*(NORMDIST(('Range Analysis'!$F$6-$A$294)/('Range Analysis'!J24/2),0,1,TRUE())-NORMDIST((-'Range Analysis'!$F$6-$A$294)/('Range Analysis'!J24/2),0,1,TRUE()))</f>
        <v>1.2640407080704765</v>
      </c>
      <c r="R294">
        <f>NORMDIST($A$294,0,'Range Analysis'!$F$8,FALSE())*(NORMDIST(('Range Analysis'!$F$6-$A$294)/('Range Analysis'!J25/2),0,1,TRUE())-NORMDIST((-'Range Analysis'!$F$6-$A$294)/('Range Analysis'!J25/2),0,1,TRUE()))</f>
        <v>1.2655736311556478</v>
      </c>
      <c r="S294">
        <f>NORMDIST($A$294,0,'Range Analysis'!$F$8,FALSE())*(NORMDIST(('Range Analysis'!$F$6-$A$294)/('Range Analysis'!J26/2),0,1,TRUE())-NORMDIST((-'Range Analysis'!$F$6-$A$294)/('Range Analysis'!J26/2),0,1,TRUE()))</f>
        <v>1.2655736311556478</v>
      </c>
      <c r="T294">
        <f>NORMDIST($A$294,0,'Range Analysis'!$F$8,FALSE())*(NORMDIST(('Range Analysis'!$F$6-$A$294)/('Range Analysis'!J27/2),0,1,TRUE())-NORMDIST((-'Range Analysis'!$F$6-$A$294)/('Range Analysis'!J27/2),0,1,TRUE()))</f>
        <v>1.2655736316345454</v>
      </c>
      <c r="U294">
        <f>NORMDIST($A$294,0,'Range Analysis'!$F$8,FALSE())*(NORMDIST(('Range Analysis'!$F$6-$A$294)/('Range Analysis'!J28/2),0,1,TRUE())-NORMDIST((-'Range Analysis'!$F$6-$A$294)/('Range Analysis'!J28/2),0,1,TRUE()))</f>
        <v>1.2655736316346422</v>
      </c>
      <c r="V294">
        <f>NORMDIST($A$294,0,'Range Analysis'!$F$8,FALSE())*(NORMDIST(('Range Analysis'!$F$6-$A$294)/('Range Analysis'!J29/2),0,1,TRUE())-NORMDIST((-'Range Analysis'!$F$6-$A$294)/('Range Analysis'!J29/2),0,1,TRUE()))</f>
        <v>1.1411614573194837</v>
      </c>
      <c r="W294">
        <f>NORMDIST($A$294,0,'Range Analysis'!$F$8,FALSE())*(NORMDIST((('Range Analysis'!$F$6-0)-$A$294)/('Range Analysis'!J30/2),0,1,TRUE())-NORMDIST((-('Range Analysis'!$F$6-0)-$A$294)/('Range Analysis'!J30/2),0,1,TRUE()))</f>
        <v>1.0317964180511845</v>
      </c>
    </row>
    <row r="295" spans="1:23" ht="15" customHeight="1" x14ac:dyDescent="0.25">
      <c r="A295">
        <f>-'Range Analysis'!$F$6+19*$B$275</f>
        <v>-1.282051282051283E-2</v>
      </c>
      <c r="C295">
        <f>NORMDIST($A$295,0,'Range Analysis'!$F$8,FALSE())*(NORMDIST((('Range Analysis'!$F$6-0.98*'Range Analysis'!J24)-$A$295)/('Range Analysis'!J24/2),0,1,TRUE())-NORMDIST((-('Range Analysis'!$F$6-0.98*'Range Analysis'!J24)-$A$295)/('Range Analysis'!J24/2),0,1,TRUE()))</f>
        <v>1.0559687310520118</v>
      </c>
      <c r="D295">
        <f>NORMDIST($A$295,0,'Range Analysis'!$F$8,FALSE())*(NORMDIST((('Range Analysis'!$F$6-0.98*'Range Analysis'!J25)-$A$295)/('Range Analysis'!J25/2),0,1,TRUE())-NORMDIST((-('Range Analysis'!$F$6-0.98*'Range Analysis'!J25)-$A$295)/('Range Analysis'!J25/2),0,1,TRUE()))</f>
        <v>1.2740990377484223</v>
      </c>
      <c r="E295">
        <f>NORMDIST($A$295,0,'Range Analysis'!$F$8,FALSE())*(NORMDIST((('Range Analysis'!$F$6-0.98*'Range Analysis'!J26)-$A$295)/('Range Analysis'!J26/2),0,1,TRUE())-NORMDIST((-('Range Analysis'!$F$6-0.98*'Range Analysis'!J26)-$A$295)/('Range Analysis'!J26/2),0,1,TRUE()))</f>
        <v>1.2740990377484223</v>
      </c>
      <c r="F295">
        <f>NORMDIST($A$295,0,'Range Analysis'!$F$8,FALSE())*(NORMDIST((('Range Analysis'!$F$6-0.98*'Range Analysis'!J27)-$A$295)/('Range Analysis'!J27/2),0,1,TRUE())-NORMDIST((-('Range Analysis'!$F$6-0.98*'Range Analysis'!J27)-$A$295)/('Range Analysis'!J27/2),0,1,TRUE()))</f>
        <v>1.2741033751490185</v>
      </c>
      <c r="G295">
        <f>NORMDIST($A$295,0,'Range Analysis'!$F$8,FALSE())*(NORMDIST((('Range Analysis'!$F$6-0.98*'Range Analysis'!J28)-$A$295)/('Range Analysis'!J28/2),0,1,TRUE())-NORMDIST((-('Range Analysis'!$F$6-0.98*'Range Analysis'!J28)-$A$295)/('Range Analysis'!J28/2),0,1,TRUE()))</f>
        <v>1.2741033788481528</v>
      </c>
      <c r="H295">
        <f>NORMDIST($A$295,0,'Range Analysis'!$F$8,FALSE())*(NORMDIST((('Range Analysis'!$F$6-0.98*'Range Analysis'!J29)-$A$295)/('Range Analysis'!J29/2),0,1,TRUE())-NORMDIST((-('Range Analysis'!$F$6-0.98*'Range Analysis'!J29)-$A$295)/('Range Analysis'!J29/2),0,1,TRUE()))</f>
        <v>-0.2937164982383984</v>
      </c>
      <c r="I295">
        <f>NORMDIST($A$295,0,'Range Analysis'!$F$8,FALSE())*(NORMDIST((('Range Analysis'!$F$6-0.98*'Range Analysis'!J30)-$A$295)/('Range Analysis'!J30/2),0,1,TRUE())-NORMDIST((-('Range Analysis'!$F$6-0.98*'Range Analysis'!J30)-$A$295)/('Range Analysis'!J30/2),0,1,TRUE()))</f>
        <v>-0.59740438002960661</v>
      </c>
      <c r="J295">
        <f>NORMDIST($A$295,0,'Range Analysis'!$F$8,FALSE())*(NORMDIST((('Range Analysis'!$F$6-IF('Range Analysis'!K24&lt;=0,0,'Range Analysis'!J24*MAX(0,1.04-EXP(0.38*LN('Range Analysis'!K24)-0.54))))-$A$295)/('Range Analysis'!J24/2),0,1,TRUE())-NORMDIST((-('Range Analysis'!$F$6-IF('Range Analysis'!K24&lt;=0,0,'Range Analysis'!J24*MAX(0,1.04-EXP(0.38*LN('Range Analysis'!K24)-0.54))))-$A$295)/('Range Analysis'!J24/2),0,1,TRUE()))</f>
        <v>1.2641140866858767</v>
      </c>
      <c r="K295">
        <f>NORMDIST($A$295,0,'Range Analysis'!$F$8,FALSE())*(NORMDIST((('Range Analysis'!$F$6-IF('Range Analysis'!K25&lt;=0,0,'Range Analysis'!J25*MAX(0,1.04-EXP(0.38*LN('Range Analysis'!K25)-0.54))))-$A$295)/('Range Analysis'!J25/2),0,1,TRUE())-NORMDIST((-('Range Analysis'!$F$6-IF('Range Analysis'!K25&lt;=0,0,'Range Analysis'!J25*MAX(0,1.04-EXP(0.38*LN('Range Analysis'!K25)-0.54))))-$A$295)/('Range Analysis'!J25/2),0,1,TRUE()))</f>
        <v>1.2741033785724014</v>
      </c>
      <c r="L295">
        <f>NORMDIST($A$295,0,'Range Analysis'!$F$8,FALSE())*(NORMDIST((('Range Analysis'!$F$6-IF('Range Analysis'!K26&lt;=0,0,'Range Analysis'!J26*MAX(0,1.04-EXP(0.38*LN('Range Analysis'!K26)-0.54))))-$A$295)/('Range Analysis'!J26/2),0,1,TRUE())-NORMDIST((-('Range Analysis'!$F$6-IF('Range Analysis'!K26&lt;=0,0,'Range Analysis'!J26*MAX(0,1.04-EXP(0.38*LN('Range Analysis'!K26)-0.54))))-$A$295)/('Range Analysis'!J26/2),0,1,TRUE()))</f>
        <v>1.2741033785724014</v>
      </c>
      <c r="M295">
        <f>NORMDIST($A$295,0,'Range Analysis'!$F$8,FALSE())*(NORMDIST((('Range Analysis'!$F$6-IF('Range Analysis'!K27&lt;=0,0,'Range Analysis'!J27*MAX(0,1.04-EXP(0.38*LN('Range Analysis'!K27)-0.54))))-$A$295)/('Range Analysis'!J27/2),0,1,TRUE())-NORMDIST((-('Range Analysis'!$F$6-IF('Range Analysis'!K27&lt;=0,0,'Range Analysis'!J27*MAX(0,1.04-EXP(0.38*LN('Range Analysis'!K27)-0.54))))-$A$295)/('Range Analysis'!J27/2),0,1,TRUE()))</f>
        <v>1.2741033788481431</v>
      </c>
      <c r="N295">
        <f>NORMDIST($A$295,0,'Range Analysis'!$F$8,FALSE())*(NORMDIST((('Range Analysis'!$F$6-IF('Range Analysis'!K28&lt;=0,0,'Range Analysis'!J28*MAX(0,1.04-EXP(0.38*LN('Range Analysis'!K28)-0.54))))-$A$295)/('Range Analysis'!J28/2),0,1,TRUE())-NORMDIST((-('Range Analysis'!$F$6-IF('Range Analysis'!K28&lt;=0,0,'Range Analysis'!J28*MAX(0,1.04-EXP(0.38*LN('Range Analysis'!K28)-0.54))))-$A$295)/('Range Analysis'!J28/2),0,1,TRUE()))</f>
        <v>1.2741033788481528</v>
      </c>
      <c r="O295">
        <f>NORMDIST($A$295,0,'Range Analysis'!$F$8,FALSE())*(NORMDIST((('Range Analysis'!$F$6-IF('Range Analysis'!K29&lt;=0,0,'Range Analysis'!J29*MAX(0,1.04-EXP(0.38*LN('Range Analysis'!K29)-0.54))))-$A$295)/('Range Analysis'!J29/2),0,1,TRUE())-NORMDIST((-('Range Analysis'!$F$6-IF('Range Analysis'!K29&lt;=0,0,'Range Analysis'!J29*MAX(0,1.04-EXP(0.38*LN('Range Analysis'!K29)-0.54))))-$A$295)/('Range Analysis'!J29/2),0,1,TRUE()))</f>
        <v>0.63627710703936424</v>
      </c>
      <c r="P295">
        <f>NORMDIST($A$295,0,'Range Analysis'!$F$8,FALSE())*(NORMDIST((('Range Analysis'!$F$6-IF('Range Analysis'!K30&lt;=0,0,'Range Analysis'!J30*MAX(0,1.04-EXP(0.38*LN('Range Analysis'!K30)-0.54))))-$A$295)/('Range Analysis'!J30/2),0,1,TRUE())-NORMDIST((-('Range Analysis'!$F$6-IF('Range Analysis'!K30&lt;=0,0,'Range Analysis'!J30*MAX(0,1.04-EXP(0.38*LN('Range Analysis'!K30)-0.54))))-$A$295)/('Range Analysis'!J30/2),0,1,TRUE()))</f>
        <v>0.25374708815148644</v>
      </c>
      <c r="Q295">
        <f>NORMDIST($A$295,0,'Range Analysis'!$F$8,FALSE())*(NORMDIST(('Range Analysis'!$F$6-$A$295)/('Range Analysis'!J24/2),0,1,TRUE())-NORMDIST((-'Range Analysis'!$F$6-$A$295)/('Range Analysis'!J24/2),0,1,TRUE()))</f>
        <v>1.2729619587526608</v>
      </c>
      <c r="R295">
        <f>NORMDIST($A$295,0,'Range Analysis'!$F$8,FALSE())*(NORMDIST(('Range Analysis'!$F$6-$A$295)/('Range Analysis'!J25/2),0,1,TRUE())-NORMDIST((-'Range Analysis'!$F$6-$A$295)/('Range Analysis'!J25/2),0,1,TRUE()))</f>
        <v>1.274103378790381</v>
      </c>
      <c r="S295">
        <f>NORMDIST($A$295,0,'Range Analysis'!$F$8,FALSE())*(NORMDIST(('Range Analysis'!$F$6-$A$295)/('Range Analysis'!J26/2),0,1,TRUE())-NORMDIST((-'Range Analysis'!$F$6-$A$295)/('Range Analysis'!J26/2),0,1,TRUE()))</f>
        <v>1.274103378790381</v>
      </c>
      <c r="T295">
        <f>NORMDIST($A$295,0,'Range Analysis'!$F$8,FALSE())*(NORMDIST(('Range Analysis'!$F$6-$A$295)/('Range Analysis'!J27/2),0,1,TRUE())-NORMDIST((-'Range Analysis'!$F$6-$A$295)/('Range Analysis'!J27/2),0,1,TRUE()))</f>
        <v>1.2741033788481486</v>
      </c>
      <c r="U295">
        <f>NORMDIST($A$295,0,'Range Analysis'!$F$8,FALSE())*(NORMDIST(('Range Analysis'!$F$6-$A$295)/('Range Analysis'!J28/2),0,1,TRUE())-NORMDIST((-'Range Analysis'!$F$6-$A$295)/('Range Analysis'!J28/2),0,1,TRUE()))</f>
        <v>1.2741033788481528</v>
      </c>
      <c r="V295">
        <f>NORMDIST($A$295,0,'Range Analysis'!$F$8,FALSE())*(NORMDIST(('Range Analysis'!$F$6-$A$295)/('Range Analysis'!J29/2),0,1,TRUE())-NORMDIST((-'Range Analysis'!$F$6-$A$295)/('Range Analysis'!J29/2),0,1,TRUE()))</f>
        <v>1.1519379086100223</v>
      </c>
      <c r="W295">
        <f>NORMDIST($A$295,0,'Range Analysis'!$F$8,FALSE())*(NORMDIST((('Range Analysis'!$F$6-0)-$A$295)/('Range Analysis'!J30/2),0,1,TRUE())-NORMDIST((-('Range Analysis'!$F$6-0)-$A$295)/('Range Analysis'!J30/2),0,1,TRUE()))</f>
        <v>1.0413527128044535</v>
      </c>
    </row>
    <row r="296" spans="1:23" ht="15" customHeight="1" x14ac:dyDescent="0.25">
      <c r="A296">
        <f>-'Range Analysis'!$F$6+20*$B$275</f>
        <v>1.2820512820512775E-2</v>
      </c>
      <c r="C296">
        <f>NORMDIST($A$296,0,'Range Analysis'!$F$8,FALSE())*(NORMDIST((('Range Analysis'!$F$6-0.98*'Range Analysis'!J24)-$A$296)/('Range Analysis'!J24/2),0,1,TRUE())-NORMDIST((-('Range Analysis'!$F$6-0.98*'Range Analysis'!J24)-$A$296)/('Range Analysis'!J24/2),0,1,TRUE()))</f>
        <v>1.0559687310520118</v>
      </c>
      <c r="D296">
        <f>NORMDIST($A$296,0,'Range Analysis'!$F$8,FALSE())*(NORMDIST((('Range Analysis'!$F$6-0.98*'Range Analysis'!J25)-$A$296)/('Range Analysis'!J25/2),0,1,TRUE())-NORMDIST((-('Range Analysis'!$F$6-0.98*'Range Analysis'!J25)-$A$296)/('Range Analysis'!J25/2),0,1,TRUE()))</f>
        <v>1.2740990377484223</v>
      </c>
      <c r="E296">
        <f>NORMDIST($A$296,0,'Range Analysis'!$F$8,FALSE())*(NORMDIST((('Range Analysis'!$F$6-0.98*'Range Analysis'!J26)-$A$296)/('Range Analysis'!J26/2),0,1,TRUE())-NORMDIST((-('Range Analysis'!$F$6-0.98*'Range Analysis'!J26)-$A$296)/('Range Analysis'!J26/2),0,1,TRUE()))</f>
        <v>1.2740990377484223</v>
      </c>
      <c r="F296">
        <f>NORMDIST($A$296,0,'Range Analysis'!$F$8,FALSE())*(NORMDIST((('Range Analysis'!$F$6-0.98*'Range Analysis'!J27)-$A$296)/('Range Analysis'!J27/2),0,1,TRUE())-NORMDIST((-('Range Analysis'!$F$6-0.98*'Range Analysis'!J27)-$A$296)/('Range Analysis'!J27/2),0,1,TRUE()))</f>
        <v>1.2741033751490185</v>
      </c>
      <c r="G296">
        <f>NORMDIST($A$296,0,'Range Analysis'!$F$8,FALSE())*(NORMDIST((('Range Analysis'!$F$6-0.98*'Range Analysis'!J28)-$A$296)/('Range Analysis'!J28/2),0,1,TRUE())-NORMDIST((-('Range Analysis'!$F$6-0.98*'Range Analysis'!J28)-$A$296)/('Range Analysis'!J28/2),0,1,TRUE()))</f>
        <v>1.2741033788481528</v>
      </c>
      <c r="H296">
        <f>NORMDIST($A$296,0,'Range Analysis'!$F$8,FALSE())*(NORMDIST((('Range Analysis'!$F$6-0.98*'Range Analysis'!J29)-$A$296)/('Range Analysis'!J29/2),0,1,TRUE())-NORMDIST((-('Range Analysis'!$F$6-0.98*'Range Analysis'!J29)-$A$296)/('Range Analysis'!J29/2),0,1,TRUE()))</f>
        <v>-0.29371649823839829</v>
      </c>
      <c r="I296">
        <f>NORMDIST($A$296,0,'Range Analysis'!$F$8,FALSE())*(NORMDIST((('Range Analysis'!$F$6-0.98*'Range Analysis'!J30)-$A$296)/('Range Analysis'!J30/2),0,1,TRUE())-NORMDIST((-('Range Analysis'!$F$6-0.98*'Range Analysis'!J30)-$A$296)/('Range Analysis'!J30/2),0,1,TRUE()))</f>
        <v>-0.59740438002960661</v>
      </c>
      <c r="J296">
        <f>NORMDIST($A$296,0,'Range Analysis'!$F$8,FALSE())*(NORMDIST((('Range Analysis'!$F$6-IF('Range Analysis'!K24&lt;=0,0,'Range Analysis'!J24*MAX(0,1.04-EXP(0.38*LN('Range Analysis'!K24)-0.54))))-$A$296)/('Range Analysis'!J24/2),0,1,TRUE())-NORMDIST((-('Range Analysis'!$F$6-IF('Range Analysis'!K24&lt;=0,0,'Range Analysis'!J24*MAX(0,1.04-EXP(0.38*LN('Range Analysis'!K24)-0.54))))-$A$296)/('Range Analysis'!J24/2),0,1,TRUE()))</f>
        <v>1.2641140866858767</v>
      </c>
      <c r="K296">
        <f>NORMDIST($A$296,0,'Range Analysis'!$F$8,FALSE())*(NORMDIST((('Range Analysis'!$F$6-IF('Range Analysis'!K25&lt;=0,0,'Range Analysis'!J25*MAX(0,1.04-EXP(0.38*LN('Range Analysis'!K25)-0.54))))-$A$296)/('Range Analysis'!J25/2),0,1,TRUE())-NORMDIST((-('Range Analysis'!$F$6-IF('Range Analysis'!K25&lt;=0,0,'Range Analysis'!J25*MAX(0,1.04-EXP(0.38*LN('Range Analysis'!K25)-0.54))))-$A$296)/('Range Analysis'!J25/2),0,1,TRUE()))</f>
        <v>1.2741033785724014</v>
      </c>
      <c r="L296">
        <f>NORMDIST($A$296,0,'Range Analysis'!$F$8,FALSE())*(NORMDIST((('Range Analysis'!$F$6-IF('Range Analysis'!K26&lt;=0,0,'Range Analysis'!J26*MAX(0,1.04-EXP(0.38*LN('Range Analysis'!K26)-0.54))))-$A$296)/('Range Analysis'!J26/2),0,1,TRUE())-NORMDIST((-('Range Analysis'!$F$6-IF('Range Analysis'!K26&lt;=0,0,'Range Analysis'!J26*MAX(0,1.04-EXP(0.38*LN('Range Analysis'!K26)-0.54))))-$A$296)/('Range Analysis'!J26/2),0,1,TRUE()))</f>
        <v>1.2741033785724014</v>
      </c>
      <c r="M296">
        <f>NORMDIST($A$296,0,'Range Analysis'!$F$8,FALSE())*(NORMDIST((('Range Analysis'!$F$6-IF('Range Analysis'!K27&lt;=0,0,'Range Analysis'!J27*MAX(0,1.04-EXP(0.38*LN('Range Analysis'!K27)-0.54))))-$A$296)/('Range Analysis'!J27/2),0,1,TRUE())-NORMDIST((-('Range Analysis'!$F$6-IF('Range Analysis'!K27&lt;=0,0,'Range Analysis'!J27*MAX(0,1.04-EXP(0.38*LN('Range Analysis'!K27)-0.54))))-$A$296)/('Range Analysis'!J27/2),0,1,TRUE()))</f>
        <v>1.2741033788481431</v>
      </c>
      <c r="N296">
        <f>NORMDIST($A$296,0,'Range Analysis'!$F$8,FALSE())*(NORMDIST((('Range Analysis'!$F$6-IF('Range Analysis'!K28&lt;=0,0,'Range Analysis'!J28*MAX(0,1.04-EXP(0.38*LN('Range Analysis'!K28)-0.54))))-$A$296)/('Range Analysis'!J28/2),0,1,TRUE())-NORMDIST((-('Range Analysis'!$F$6-IF('Range Analysis'!K28&lt;=0,0,'Range Analysis'!J28*MAX(0,1.04-EXP(0.38*LN('Range Analysis'!K28)-0.54))))-$A$296)/('Range Analysis'!J28/2),0,1,TRUE()))</f>
        <v>1.2741033788481528</v>
      </c>
      <c r="O296">
        <f>NORMDIST($A$296,0,'Range Analysis'!$F$8,FALSE())*(NORMDIST((('Range Analysis'!$F$6-IF('Range Analysis'!K29&lt;=0,0,'Range Analysis'!J29*MAX(0,1.04-EXP(0.38*LN('Range Analysis'!K29)-0.54))))-$A$296)/('Range Analysis'!J29/2),0,1,TRUE())-NORMDIST((-('Range Analysis'!$F$6-IF('Range Analysis'!K29&lt;=0,0,'Range Analysis'!J29*MAX(0,1.04-EXP(0.38*LN('Range Analysis'!K29)-0.54))))-$A$296)/('Range Analysis'!J29/2),0,1,TRUE()))</f>
        <v>0.63627710703936435</v>
      </c>
      <c r="P296">
        <f>NORMDIST($A$296,0,'Range Analysis'!$F$8,FALSE())*(NORMDIST((('Range Analysis'!$F$6-IF('Range Analysis'!K30&lt;=0,0,'Range Analysis'!J30*MAX(0,1.04-EXP(0.38*LN('Range Analysis'!K30)-0.54))))-$A$296)/('Range Analysis'!J30/2),0,1,TRUE())-NORMDIST((-('Range Analysis'!$F$6-IF('Range Analysis'!K30&lt;=0,0,'Range Analysis'!J30*MAX(0,1.04-EXP(0.38*LN('Range Analysis'!K30)-0.54))))-$A$296)/('Range Analysis'!J30/2),0,1,TRUE()))</f>
        <v>0.25374708815148633</v>
      </c>
      <c r="Q296">
        <f>NORMDIST($A$296,0,'Range Analysis'!$F$8,FALSE())*(NORMDIST(('Range Analysis'!$F$6-$A$296)/('Range Analysis'!J24/2),0,1,TRUE())-NORMDIST((-'Range Analysis'!$F$6-$A$296)/('Range Analysis'!J24/2),0,1,TRUE()))</f>
        <v>1.2729619587526608</v>
      </c>
      <c r="R296">
        <f>NORMDIST($A$296,0,'Range Analysis'!$F$8,FALSE())*(NORMDIST(('Range Analysis'!$F$6-$A$296)/('Range Analysis'!J25/2),0,1,TRUE())-NORMDIST((-'Range Analysis'!$F$6-$A$296)/('Range Analysis'!J25/2),0,1,TRUE()))</f>
        <v>1.274103378790381</v>
      </c>
      <c r="S296">
        <f>NORMDIST($A$296,0,'Range Analysis'!$F$8,FALSE())*(NORMDIST(('Range Analysis'!$F$6-$A$296)/('Range Analysis'!J26/2),0,1,TRUE())-NORMDIST((-'Range Analysis'!$F$6-$A$296)/('Range Analysis'!J26/2),0,1,TRUE()))</f>
        <v>1.274103378790381</v>
      </c>
      <c r="T296">
        <f>NORMDIST($A$296,0,'Range Analysis'!$F$8,FALSE())*(NORMDIST(('Range Analysis'!$F$6-$A$296)/('Range Analysis'!J27/2),0,1,TRUE())-NORMDIST((-'Range Analysis'!$F$6-$A$296)/('Range Analysis'!J27/2),0,1,TRUE()))</f>
        <v>1.2741033788481486</v>
      </c>
      <c r="U296">
        <f>NORMDIST($A$296,0,'Range Analysis'!$F$8,FALSE())*(NORMDIST(('Range Analysis'!$F$6-$A$296)/('Range Analysis'!J28/2),0,1,TRUE())-NORMDIST((-'Range Analysis'!$F$6-$A$296)/('Range Analysis'!J28/2),0,1,TRUE()))</f>
        <v>1.2741033788481528</v>
      </c>
      <c r="V296">
        <f>NORMDIST($A$296,0,'Range Analysis'!$F$8,FALSE())*(NORMDIST(('Range Analysis'!$F$6-$A$296)/('Range Analysis'!J29/2),0,1,TRUE())-NORMDIST((-'Range Analysis'!$F$6-$A$296)/('Range Analysis'!J29/2),0,1,TRUE()))</f>
        <v>1.1519379086100225</v>
      </c>
      <c r="W296">
        <f>NORMDIST($A$296,0,'Range Analysis'!$F$8,FALSE())*(NORMDIST((('Range Analysis'!$F$6-0)-$A$296)/('Range Analysis'!J30/2),0,1,TRUE())-NORMDIST((-('Range Analysis'!$F$6-0)-$A$296)/('Range Analysis'!J30/2),0,1,TRUE()))</f>
        <v>1.0413527128044535</v>
      </c>
    </row>
    <row r="297" spans="1:23" ht="15" customHeight="1" x14ac:dyDescent="0.25">
      <c r="A297">
        <f>-'Range Analysis'!$F$6+21*$B$275</f>
        <v>3.8461538461538436E-2</v>
      </c>
      <c r="C297">
        <f>NORMDIST($A$297,0,'Range Analysis'!$F$8,FALSE())*(NORMDIST((('Range Analysis'!$F$6-0.98*'Range Analysis'!J24)-$A$297)/('Range Analysis'!J24/2),0,1,TRUE())-NORMDIST((-('Range Analysis'!$F$6-0.98*'Range Analysis'!J24)-$A$297)/('Range Analysis'!J24/2),0,1,TRUE()))</f>
        <v>1.0332251226533478</v>
      </c>
      <c r="D297">
        <f>NORMDIST($A$297,0,'Range Analysis'!$F$8,FALSE())*(NORMDIST((('Range Analysis'!$F$6-0.98*'Range Analysis'!J25)-$A$297)/('Range Analysis'!J25/2),0,1,TRUE())-NORMDIST((-('Range Analysis'!$F$6-0.98*'Range Analysis'!J25)-$A$297)/('Range Analysis'!J25/2),0,1,TRUE()))</f>
        <v>1.2655561630343648</v>
      </c>
      <c r="E297">
        <f>NORMDIST($A$297,0,'Range Analysis'!$F$8,FALSE())*(NORMDIST((('Range Analysis'!$F$6-0.98*'Range Analysis'!J26)-$A$297)/('Range Analysis'!J26/2),0,1,TRUE())-NORMDIST((-('Range Analysis'!$F$6-0.98*'Range Analysis'!J26)-$A$297)/('Range Analysis'!J26/2),0,1,TRUE()))</f>
        <v>1.2655561630343648</v>
      </c>
      <c r="F297">
        <f>NORMDIST($A$297,0,'Range Analysis'!$F$8,FALSE())*(NORMDIST((('Range Analysis'!$F$6-0.98*'Range Analysis'!J27)-$A$297)/('Range Analysis'!J27/2),0,1,TRUE())-NORMDIST((-('Range Analysis'!$F$6-0.98*'Range Analysis'!J27)-$A$297)/('Range Analysis'!J27/2),0,1,TRUE()))</f>
        <v>1.2655735948648439</v>
      </c>
      <c r="G297">
        <f>NORMDIST($A$297,0,'Range Analysis'!$F$8,FALSE())*(NORMDIST((('Range Analysis'!$F$6-0.98*'Range Analysis'!J28)-$A$297)/('Range Analysis'!J28/2),0,1,TRUE())-NORMDIST((-('Range Analysis'!$F$6-0.98*'Range Analysis'!J28)-$A$297)/('Range Analysis'!J28/2),0,1,TRUE()))</f>
        <v>1.2655736316346422</v>
      </c>
      <c r="H297">
        <f>NORMDIST($A$297,0,'Range Analysis'!$F$8,FALSE())*(NORMDIST((('Range Analysis'!$F$6-0.98*'Range Analysis'!J29)-$A$297)/('Range Analysis'!J29/2),0,1,TRUE())-NORMDIST((-('Range Analysis'!$F$6-0.98*'Range Analysis'!J29)-$A$297)/('Range Analysis'!J29/2),0,1,TRUE()))</f>
        <v>-0.28968663700915404</v>
      </c>
      <c r="I297">
        <f>NORMDIST($A$297,0,'Range Analysis'!$F$8,FALSE())*(NORMDIST((('Range Analysis'!$F$6-0.98*'Range Analysis'!J30)-$A$297)/('Range Analysis'!J30/2),0,1,TRUE())-NORMDIST((-('Range Analysis'!$F$6-0.98*'Range Analysis'!J30)-$A$297)/('Range Analysis'!J30/2),0,1,TRUE()))</f>
        <v>-0.59098003500751506</v>
      </c>
      <c r="J297">
        <f>NORMDIST($A$297,0,'Range Analysis'!$F$8,FALSE())*(NORMDIST((('Range Analysis'!$F$6-IF('Range Analysis'!K24&lt;=0,0,'Range Analysis'!J24*MAX(0,1.04-EXP(0.38*LN('Range Analysis'!K24)-0.54))))-$A$297)/('Range Analysis'!J24/2),0,1,TRUE())-NORMDIST((-('Range Analysis'!$F$6-IF('Range Analysis'!K24&lt;=0,0,'Range Analysis'!J24*MAX(0,1.04-EXP(0.38*LN('Range Analysis'!K24)-0.54))))-$A$297)/('Range Analysis'!J24/2),0,1,TRUE()))</f>
        <v>1.2533571243142614</v>
      </c>
      <c r="K297">
        <f>NORMDIST($A$297,0,'Range Analysis'!$F$8,FALSE())*(NORMDIST((('Range Analysis'!$F$6-IF('Range Analysis'!K25&lt;=0,0,'Range Analysis'!J25*MAX(0,1.04-EXP(0.38*LN('Range Analysis'!K25)-0.54))))-$A$297)/('Range Analysis'!J25/2),0,1,TRUE())-NORMDIST((-('Range Analysis'!$F$6-IF('Range Analysis'!K25&lt;=0,0,'Range Analysis'!J25*MAX(0,1.04-EXP(0.38*LN('Range Analysis'!K25)-0.54))))-$A$297)/('Range Analysis'!J25/2),0,1,TRUE()))</f>
        <v>1.2655736295383184</v>
      </c>
      <c r="L297">
        <f>NORMDIST($A$297,0,'Range Analysis'!$F$8,FALSE())*(NORMDIST((('Range Analysis'!$F$6-IF('Range Analysis'!K26&lt;=0,0,'Range Analysis'!J26*MAX(0,1.04-EXP(0.38*LN('Range Analysis'!K26)-0.54))))-$A$297)/('Range Analysis'!J26/2),0,1,TRUE())-NORMDIST((-('Range Analysis'!$F$6-IF('Range Analysis'!K26&lt;=0,0,'Range Analysis'!J26*MAX(0,1.04-EXP(0.38*LN('Range Analysis'!K26)-0.54))))-$A$297)/('Range Analysis'!J26/2),0,1,TRUE()))</f>
        <v>1.2655736295383184</v>
      </c>
      <c r="M297">
        <f>NORMDIST($A$297,0,'Range Analysis'!$F$8,FALSE())*(NORMDIST((('Range Analysis'!$F$6-IF('Range Analysis'!K27&lt;=0,0,'Range Analysis'!J27*MAX(0,1.04-EXP(0.38*LN('Range Analysis'!K27)-0.54))))-$A$297)/('Range Analysis'!J27/2),0,1,TRUE())-NORMDIST((-('Range Analysis'!$F$6-IF('Range Analysis'!K27&lt;=0,0,'Range Analysis'!J27*MAX(0,1.04-EXP(0.38*LN('Range Analysis'!K27)-0.54))))-$A$297)/('Range Analysis'!J27/2),0,1,TRUE()))</f>
        <v>1.2655736316344284</v>
      </c>
      <c r="N297">
        <f>NORMDIST($A$297,0,'Range Analysis'!$F$8,FALSE())*(NORMDIST((('Range Analysis'!$F$6-IF('Range Analysis'!K28&lt;=0,0,'Range Analysis'!J28*MAX(0,1.04-EXP(0.38*LN('Range Analysis'!K28)-0.54))))-$A$297)/('Range Analysis'!J28/2),0,1,TRUE())-NORMDIST((-('Range Analysis'!$F$6-IF('Range Analysis'!K28&lt;=0,0,'Range Analysis'!J28*MAX(0,1.04-EXP(0.38*LN('Range Analysis'!K28)-0.54))))-$A$297)/('Range Analysis'!J28/2),0,1,TRUE()))</f>
        <v>1.2655736316346422</v>
      </c>
      <c r="O297">
        <f>NORMDIST($A$297,0,'Range Analysis'!$F$8,FALSE())*(NORMDIST((('Range Analysis'!$F$6-IF('Range Analysis'!K29&lt;=0,0,'Range Analysis'!J29*MAX(0,1.04-EXP(0.38*LN('Range Analysis'!K29)-0.54))))-$A$297)/('Range Analysis'!J29/2),0,1,TRUE())-NORMDIST((-('Range Analysis'!$F$6-IF('Range Analysis'!K29&lt;=0,0,'Range Analysis'!J29*MAX(0,1.04-EXP(0.38*LN('Range Analysis'!K29)-0.54))))-$A$297)/('Range Analysis'!J29/2),0,1,TRUE()))</f>
        <v>0.6280706535074505</v>
      </c>
      <c r="P297">
        <f>NORMDIST($A$297,0,'Range Analysis'!$F$8,FALSE())*(NORMDIST((('Range Analysis'!$F$6-IF('Range Analysis'!K30&lt;=0,0,'Range Analysis'!J30*MAX(0,1.04-EXP(0.38*LN('Range Analysis'!K30)-0.54))))-$A$297)/('Range Analysis'!J30/2),0,1,TRUE())-NORMDIST((-('Range Analysis'!$F$6-IF('Range Analysis'!K30&lt;=0,0,'Range Analysis'!J30*MAX(0,1.04-EXP(0.38*LN('Range Analysis'!K30)-0.54))))-$A$297)/('Range Analysis'!J30/2),0,1,TRUE()))</f>
        <v>0.25089737563137449</v>
      </c>
      <c r="Q297">
        <f>NORMDIST($A$297,0,'Range Analysis'!$F$8,FALSE())*(NORMDIST(('Range Analysis'!$F$6-$A$297)/('Range Analysis'!J24/2),0,1,TRUE())-NORMDIST((-'Range Analysis'!$F$6-$A$297)/('Range Analysis'!J24/2),0,1,TRUE()))</f>
        <v>1.2640407080704765</v>
      </c>
      <c r="R297">
        <f>NORMDIST($A$297,0,'Range Analysis'!$F$8,FALSE())*(NORMDIST(('Range Analysis'!$F$6-$A$297)/('Range Analysis'!J25/2),0,1,TRUE())-NORMDIST((-'Range Analysis'!$F$6-$A$297)/('Range Analysis'!J25/2),0,1,TRUE()))</f>
        <v>1.2655736311556478</v>
      </c>
      <c r="S297">
        <f>NORMDIST($A$297,0,'Range Analysis'!$F$8,FALSE())*(NORMDIST(('Range Analysis'!$F$6-$A$297)/('Range Analysis'!J26/2),0,1,TRUE())-NORMDIST((-'Range Analysis'!$F$6-$A$297)/('Range Analysis'!J26/2),0,1,TRUE()))</f>
        <v>1.2655736311556478</v>
      </c>
      <c r="T297">
        <f>NORMDIST($A$297,0,'Range Analysis'!$F$8,FALSE())*(NORMDIST(('Range Analysis'!$F$6-$A$297)/('Range Analysis'!J27/2),0,1,TRUE())-NORMDIST((-'Range Analysis'!$F$6-$A$297)/('Range Analysis'!J27/2),0,1,TRUE()))</f>
        <v>1.2655736316345454</v>
      </c>
      <c r="U297">
        <f>NORMDIST($A$297,0,'Range Analysis'!$F$8,FALSE())*(NORMDIST(('Range Analysis'!$F$6-$A$297)/('Range Analysis'!J28/2),0,1,TRUE())-NORMDIST((-'Range Analysis'!$F$6-$A$297)/('Range Analysis'!J28/2),0,1,TRUE()))</f>
        <v>1.2655736316346422</v>
      </c>
      <c r="V297">
        <f>NORMDIST($A$297,0,'Range Analysis'!$F$8,FALSE())*(NORMDIST(('Range Analysis'!$F$6-$A$297)/('Range Analysis'!J29/2),0,1,TRUE())-NORMDIST((-'Range Analysis'!$F$6-$A$297)/('Range Analysis'!J29/2),0,1,TRUE()))</f>
        <v>1.1411614573194837</v>
      </c>
      <c r="W297">
        <f>NORMDIST($A$297,0,'Range Analysis'!$F$8,FALSE())*(NORMDIST((('Range Analysis'!$F$6-0)-$A$297)/('Range Analysis'!J30/2),0,1,TRUE())-NORMDIST((-('Range Analysis'!$F$6-0)-$A$297)/('Range Analysis'!J30/2),0,1,TRUE()))</f>
        <v>1.0317964180511845</v>
      </c>
    </row>
    <row r="298" spans="1:23" ht="15" customHeight="1" x14ac:dyDescent="0.25">
      <c r="A298">
        <f>-'Range Analysis'!$F$6+22*$B$275</f>
        <v>6.4102564102564097E-2</v>
      </c>
      <c r="C298">
        <f>NORMDIST($A$298,0,'Range Analysis'!$F$8,FALSE())*(NORMDIST((('Range Analysis'!$F$6-0.98*'Range Analysis'!J24)-$A$298)/('Range Analysis'!J24/2),0,1,TRUE())-NORMDIST((-('Range Analysis'!$F$6-0.98*'Range Analysis'!J24)-$A$298)/('Range Analysis'!J24/2),0,1,TRUE()))</f>
        <v>0.98901473689240882</v>
      </c>
      <c r="D298">
        <f>NORMDIST($A$298,0,'Range Analysis'!$F$8,FALSE())*(NORMDIST((('Range Analysis'!$F$6-0.98*'Range Analysis'!J25)-$A$298)/('Range Analysis'!J25/2),0,1,TRUE())-NORMDIST((-('Range Analysis'!$F$6-0.98*'Range Analysis'!J25)-$A$298)/('Range Analysis'!J25/2),0,1,TRUE()))</f>
        <v>1.248611894315558</v>
      </c>
      <c r="E298">
        <f>NORMDIST($A$298,0,'Range Analysis'!$F$8,FALSE())*(NORMDIST((('Range Analysis'!$F$6-0.98*'Range Analysis'!J26)-$A$298)/('Range Analysis'!J26/2),0,1,TRUE())-NORMDIST((-('Range Analysis'!$F$6-0.98*'Range Analysis'!J26)-$A$298)/('Range Analysis'!J26/2),0,1,TRUE()))</f>
        <v>1.248611894315558</v>
      </c>
      <c r="F298">
        <f>NORMDIST($A$298,0,'Range Analysis'!$F$8,FALSE())*(NORMDIST((('Range Analysis'!$F$6-0.98*'Range Analysis'!J27)-$A$298)/('Range Analysis'!J27/2),0,1,TRUE())-NORMDIST((-('Range Analysis'!$F$6-0.98*'Range Analysis'!J27)-$A$298)/('Range Analysis'!J27/2),0,1,TRUE()))</f>
        <v>1.2486847351380699</v>
      </c>
      <c r="G298">
        <f>NORMDIST($A$298,0,'Range Analysis'!$F$8,FALSE())*(NORMDIST((('Range Analysis'!$F$6-0.98*'Range Analysis'!J28)-$A$298)/('Range Analysis'!J28/2),0,1,TRUE())-NORMDIST((-('Range Analysis'!$F$6-0.98*'Range Analysis'!J28)-$A$298)/('Range Analysis'!J28/2),0,1,TRUE()))</f>
        <v>1.248685067355245</v>
      </c>
      <c r="H298">
        <f>NORMDIST($A$298,0,'Range Analysis'!$F$8,FALSE())*(NORMDIST((('Range Analysis'!$F$6-0.98*'Range Analysis'!J29)-$A$298)/('Range Analysis'!J29/2),0,1,TRUE())-NORMDIST((-('Range Analysis'!$F$6-0.98*'Range Analysis'!J29)-$A$298)/('Range Analysis'!J29/2),0,1,TRUE()))</f>
        <v>-0.28179201359536543</v>
      </c>
      <c r="I298">
        <f>NORMDIST($A$298,0,'Range Analysis'!$F$8,FALSE())*(NORMDIST((('Range Analysis'!$F$6-0.98*'Range Analysis'!J30)-$A$298)/('Range Analysis'!J30/2),0,1,TRUE())-NORMDIST((-('Range Analysis'!$F$6-0.98*'Range Analysis'!J30)-$A$298)/('Range Analysis'!J30/2),0,1,TRUE()))</f>
        <v>-0.57833763658339832</v>
      </c>
      <c r="J298">
        <f>NORMDIST($A$298,0,'Range Analysis'!$F$8,FALSE())*(NORMDIST((('Range Analysis'!$F$6-IF('Range Analysis'!K24&lt;=0,0,'Range Analysis'!J24*MAX(0,1.04-EXP(0.38*LN('Range Analysis'!K24)-0.54))))-$A$298)/('Range Analysis'!J24/2),0,1,TRUE())-NORMDIST((-('Range Analysis'!$F$6-IF('Range Analysis'!K24&lt;=0,0,'Range Analysis'!J24*MAX(0,1.04-EXP(0.38*LN('Range Analysis'!K24)-0.54))))-$A$298)/('Range Analysis'!J24/2),0,1,TRUE()))</f>
        <v>1.2318418623419625</v>
      </c>
      <c r="K298">
        <f>NORMDIST($A$298,0,'Range Analysis'!$F$8,FALSE())*(NORMDIST((('Range Analysis'!$F$6-IF('Range Analysis'!K25&lt;=0,0,'Range Analysis'!J25*MAX(0,1.04-EXP(0.38*LN('Range Analysis'!K25)-0.54))))-$A$298)/('Range Analysis'!J25/2),0,1,TRUE())-NORMDIST((-('Range Analysis'!$F$6-IF('Range Analysis'!K25&lt;=0,0,'Range Analysis'!J25*MAX(0,1.04-EXP(0.38*LN('Range Analysis'!K25)-0.54))))-$A$298)/('Range Analysis'!J25/2),0,1,TRUE()))</f>
        <v>1.248685051776508</v>
      </c>
      <c r="L298">
        <f>NORMDIST($A$298,0,'Range Analysis'!$F$8,FALSE())*(NORMDIST((('Range Analysis'!$F$6-IF('Range Analysis'!K26&lt;=0,0,'Range Analysis'!J26*MAX(0,1.04-EXP(0.38*LN('Range Analysis'!K26)-0.54))))-$A$298)/('Range Analysis'!J26/2),0,1,TRUE())-NORMDIST((-('Range Analysis'!$F$6-IF('Range Analysis'!K26&lt;=0,0,'Range Analysis'!J26*MAX(0,1.04-EXP(0.38*LN('Range Analysis'!K26)-0.54))))-$A$298)/('Range Analysis'!J26/2),0,1,TRUE()))</f>
        <v>1.248685051776508</v>
      </c>
      <c r="M298">
        <f>NORMDIST($A$298,0,'Range Analysis'!$F$8,FALSE())*(NORMDIST((('Range Analysis'!$F$6-IF('Range Analysis'!K27&lt;=0,0,'Range Analysis'!J27*MAX(0,1.04-EXP(0.38*LN('Range Analysis'!K27)-0.54))))-$A$298)/('Range Analysis'!J27/2),0,1,TRUE())-NORMDIST((-('Range Analysis'!$F$6-IF('Range Analysis'!K27&lt;=0,0,'Range Analysis'!J27*MAX(0,1.04-EXP(0.38*LN('Range Analysis'!K27)-0.54))))-$A$298)/('Range Analysis'!J27/2),0,1,TRUE()))</f>
        <v>1.2486850673511833</v>
      </c>
      <c r="N298">
        <f>NORMDIST($A$298,0,'Range Analysis'!$F$8,FALSE())*(NORMDIST((('Range Analysis'!$F$6-IF('Range Analysis'!K28&lt;=0,0,'Range Analysis'!J28*MAX(0,1.04-EXP(0.38*LN('Range Analysis'!K28)-0.54))))-$A$298)/('Range Analysis'!J28/2),0,1,TRUE())-NORMDIST((-('Range Analysis'!$F$6-IF('Range Analysis'!K28&lt;=0,0,'Range Analysis'!J28*MAX(0,1.04-EXP(0.38*LN('Range Analysis'!K28)-0.54))))-$A$298)/('Range Analysis'!J28/2),0,1,TRUE()))</f>
        <v>1.248685067355245</v>
      </c>
      <c r="O298">
        <f>NORMDIST($A$298,0,'Range Analysis'!$F$8,FALSE())*(NORMDIST((('Range Analysis'!$F$6-IF('Range Analysis'!K29&lt;=0,0,'Range Analysis'!J29*MAX(0,1.04-EXP(0.38*LN('Range Analysis'!K29)-0.54))))-$A$298)/('Range Analysis'!J29/2),0,1,TRUE())-NORMDIST((-('Range Analysis'!$F$6-IF('Range Analysis'!K29&lt;=0,0,'Range Analysis'!J29*MAX(0,1.04-EXP(0.38*LN('Range Analysis'!K29)-0.54))))-$A$298)/('Range Analysis'!J29/2),0,1,TRUE()))</f>
        <v>0.61197315940594821</v>
      </c>
      <c r="P298">
        <f>NORMDIST($A$298,0,'Range Analysis'!$F$8,FALSE())*(NORMDIST((('Range Analysis'!$F$6-IF('Range Analysis'!K30&lt;=0,0,'Range Analysis'!J30*MAX(0,1.04-EXP(0.38*LN('Range Analysis'!K30)-0.54))))-$A$298)/('Range Analysis'!J30/2),0,1,TRUE())-NORMDIST((-('Range Analysis'!$F$6-IF('Range Analysis'!K30&lt;=0,0,'Range Analysis'!J30*MAX(0,1.04-EXP(0.38*LN('Range Analysis'!K30)-0.54))))-$A$298)/('Range Analysis'!J30/2),0,1,TRUE()))</f>
        <v>0.24529359962719183</v>
      </c>
      <c r="Q298">
        <f>NORMDIST($A$298,0,'Range Analysis'!$F$8,FALSE())*(NORMDIST(('Range Analysis'!$F$6-$A$298)/('Range Analysis'!J24/2),0,1,TRUE())-NORMDIST((-'Range Analysis'!$F$6-$A$298)/('Range Analysis'!J24/2),0,1,TRUE()))</f>
        <v>1.2462935457386135</v>
      </c>
      <c r="R298">
        <f>NORMDIST($A$298,0,'Range Analysis'!$F$8,FALSE())*(NORMDIST(('Range Analysis'!$F$6-$A$298)/('Range Analysis'!J25/2),0,1,TRUE())-NORMDIST((-'Range Analysis'!$F$6-$A$298)/('Range Analysis'!J25/2),0,1,TRUE()))</f>
        <v>1.2486850635003048</v>
      </c>
      <c r="S298">
        <f>NORMDIST($A$298,0,'Range Analysis'!$F$8,FALSE())*(NORMDIST(('Range Analysis'!$F$6-$A$298)/('Range Analysis'!J26/2),0,1,TRUE())-NORMDIST((-'Range Analysis'!$F$6-$A$298)/('Range Analysis'!J26/2),0,1,TRUE()))</f>
        <v>1.2486850635003048</v>
      </c>
      <c r="T298">
        <f>NORMDIST($A$298,0,'Range Analysis'!$F$8,FALSE())*(NORMDIST(('Range Analysis'!$F$6-$A$298)/('Range Analysis'!J27/2),0,1,TRUE())-NORMDIST((-'Range Analysis'!$F$6-$A$298)/('Range Analysis'!J27/2),0,1,TRUE()))</f>
        <v>1.2486850673533265</v>
      </c>
      <c r="U298">
        <f>NORMDIST($A$298,0,'Range Analysis'!$F$8,FALSE())*(NORMDIST(('Range Analysis'!$F$6-$A$298)/('Range Analysis'!J28/2),0,1,TRUE())-NORMDIST((-'Range Analysis'!$F$6-$A$298)/('Range Analysis'!J28/2),0,1,TRUE()))</f>
        <v>1.248685067355245</v>
      </c>
      <c r="V298">
        <f>NORMDIST($A$298,0,'Range Analysis'!$F$8,FALSE())*(NORMDIST(('Range Analysis'!$F$6-$A$298)/('Range Analysis'!J29/2),0,1,TRUE())-NORMDIST((-'Range Analysis'!$F$6-$A$298)/('Range Analysis'!J29/2),0,1,TRUE()))</f>
        <v>1.1198909282130922</v>
      </c>
      <c r="W298">
        <f>NORMDIST($A$298,0,'Range Analysis'!$F$8,FALSE())*(NORMDIST((('Range Analysis'!$F$6-0)-$A$298)/('Range Analysis'!J30/2),0,1,TRUE())-NORMDIST((-('Range Analysis'!$F$6-0)-$A$298)/('Range Analysis'!J30/2),0,1,TRUE()))</f>
        <v>1.0129415943040918</v>
      </c>
    </row>
    <row r="299" spans="1:23" ht="15" customHeight="1" x14ac:dyDescent="0.25">
      <c r="A299">
        <f>-'Range Analysis'!$F$6+23*$B$275</f>
        <v>8.9743589743589758E-2</v>
      </c>
      <c r="C299">
        <f>NORMDIST($A$299,0,'Range Analysis'!$F$8,FALSE())*(NORMDIST((('Range Analysis'!$F$6-0.98*'Range Analysis'!J24)-$A$299)/('Range Analysis'!J24/2),0,1,TRUE())-NORMDIST((-('Range Analysis'!$F$6-0.98*'Range Analysis'!J24)-$A$299)/('Range Analysis'!J24/2),0,1,TRUE()))</f>
        <v>0.9258051338336305</v>
      </c>
      <c r="D299">
        <f>NORMDIST($A$299,0,'Range Analysis'!$F$8,FALSE())*(NORMDIST((('Range Analysis'!$F$6-0.98*'Range Analysis'!J25)-$A$299)/('Range Analysis'!J25/2),0,1,TRUE())-NORMDIST((-('Range Analysis'!$F$6-0.98*'Range Analysis'!J25)-$A$299)/('Range Analysis'!J25/2),0,1,TRUE()))</f>
        <v>1.2234997454749588</v>
      </c>
      <c r="E299">
        <f>NORMDIST($A$299,0,'Range Analysis'!$F$8,FALSE())*(NORMDIST((('Range Analysis'!$F$6-0.98*'Range Analysis'!J26)-$A$299)/('Range Analysis'!J26/2),0,1,TRUE())-NORMDIST((-('Range Analysis'!$F$6-0.98*'Range Analysis'!J26)-$A$299)/('Range Analysis'!J26/2),0,1,TRUE()))</f>
        <v>1.2234997454749588</v>
      </c>
      <c r="F299">
        <f>NORMDIST($A$299,0,'Range Analysis'!$F$8,FALSE())*(NORMDIST((('Range Analysis'!$F$6-0.98*'Range Analysis'!J27)-$A$299)/('Range Analysis'!J27/2),0,1,TRUE())-NORMDIST((-('Range Analysis'!$F$6-0.98*'Range Analysis'!J27)-$A$299)/('Range Analysis'!J27/2),0,1,TRUE()))</f>
        <v>1.2237713154297196</v>
      </c>
      <c r="G299">
        <f>NORMDIST($A$299,0,'Range Analysis'!$F$8,FALSE())*(NORMDIST((('Range Analysis'!$F$6-0.98*'Range Analysis'!J28)-$A$299)/('Range Analysis'!J28/2),0,1,TRUE())-NORMDIST((-('Range Analysis'!$F$6-0.98*'Range Analysis'!J28)-$A$299)/('Range Analysis'!J28/2),0,1,TRUE()))</f>
        <v>1.2237738501608664</v>
      </c>
      <c r="H299">
        <f>NORMDIST($A$299,0,'Range Analysis'!$F$8,FALSE())*(NORMDIST((('Range Analysis'!$F$6-0.98*'Range Analysis'!J29)-$A$299)/('Range Analysis'!J29/2),0,1,TRUE())-NORMDIST((-('Range Analysis'!$F$6-0.98*'Range Analysis'!J29)-$A$299)/('Range Analysis'!J29/2),0,1,TRUE()))</f>
        <v>-0.27035160526581103</v>
      </c>
      <c r="I299">
        <f>NORMDIST($A$299,0,'Range Analysis'!$F$8,FALSE())*(NORMDIST((('Range Analysis'!$F$6-0.98*'Range Analysis'!J30)-$A$299)/('Range Analysis'!J30/2),0,1,TRUE())-NORMDIST((-('Range Analysis'!$F$6-0.98*'Range Analysis'!J30)-$A$299)/('Range Analysis'!J30/2),0,1,TRUE()))</f>
        <v>-0.55987877961709209</v>
      </c>
      <c r="J299">
        <f>NORMDIST($A$299,0,'Range Analysis'!$F$8,FALSE())*(NORMDIST((('Range Analysis'!$F$6-IF('Range Analysis'!K24&lt;=0,0,'Range Analysis'!J24*MAX(0,1.04-EXP(0.38*LN('Range Analysis'!K24)-0.54))))-$A$299)/('Range Analysis'!J24/2),0,1,TRUE())-NORMDIST((-('Range Analysis'!$F$6-IF('Range Analysis'!K24&lt;=0,0,'Range Analysis'!J24*MAX(0,1.04-EXP(0.38*LN('Range Analysis'!K24)-0.54))))-$A$299)/('Range Analysis'!J24/2),0,1,TRUE()))</f>
        <v>1.1995929332306512</v>
      </c>
      <c r="K299">
        <f>NORMDIST($A$299,0,'Range Analysis'!$F$8,FALSE())*(NORMDIST((('Range Analysis'!$F$6-IF('Range Analysis'!K25&lt;=0,0,'Range Analysis'!J25*MAX(0,1.04-EXP(0.38*LN('Range Analysis'!K25)-0.54))))-$A$299)/('Range Analysis'!J25/2),0,1,TRUE())-NORMDIST((-('Range Analysis'!$F$6-IF('Range Analysis'!K25&lt;=0,0,'Range Analysis'!J25*MAX(0,1.04-EXP(0.38*LN('Range Analysis'!K25)-0.54))))-$A$299)/('Range Analysis'!J25/2),0,1,TRUE()))</f>
        <v>1.2237737474039765</v>
      </c>
      <c r="L299">
        <f>NORMDIST($A$299,0,'Range Analysis'!$F$8,FALSE())*(NORMDIST((('Range Analysis'!$F$6-IF('Range Analysis'!K26&lt;=0,0,'Range Analysis'!J26*MAX(0,1.04-EXP(0.38*LN('Range Analysis'!K26)-0.54))))-$A$299)/('Range Analysis'!J26/2),0,1,TRUE())-NORMDIST((-('Range Analysis'!$F$6-IF('Range Analysis'!K26&lt;=0,0,'Range Analysis'!J26*MAX(0,1.04-EXP(0.38*LN('Range Analysis'!K26)-0.54))))-$A$299)/('Range Analysis'!J26/2),0,1,TRUE()))</f>
        <v>1.2237737474039765</v>
      </c>
      <c r="M299">
        <f>NORMDIST($A$299,0,'Range Analysis'!$F$8,FALSE())*(NORMDIST((('Range Analysis'!$F$6-IF('Range Analysis'!K27&lt;=0,0,'Range Analysis'!J27*MAX(0,1.04-EXP(0.38*LN('Range Analysis'!K27)-0.54))))-$A$299)/('Range Analysis'!J27/2),0,1,TRUE())-NORMDIST((-('Range Analysis'!$F$6-IF('Range Analysis'!K27&lt;=0,0,'Range Analysis'!J27*MAX(0,1.04-EXP(0.38*LN('Range Analysis'!K27)-0.54))))-$A$299)/('Range Analysis'!J27/2),0,1,TRUE()))</f>
        <v>1.2237738500958877</v>
      </c>
      <c r="N299">
        <f>NORMDIST($A$299,0,'Range Analysis'!$F$8,FALSE())*(NORMDIST((('Range Analysis'!$F$6-IF('Range Analysis'!K28&lt;=0,0,'Range Analysis'!J28*MAX(0,1.04-EXP(0.38*LN('Range Analysis'!K28)-0.54))))-$A$299)/('Range Analysis'!J28/2),0,1,TRUE())-NORMDIST((-('Range Analysis'!$F$6-IF('Range Analysis'!K28&lt;=0,0,'Range Analysis'!J28*MAX(0,1.04-EXP(0.38*LN('Range Analysis'!K28)-0.54))))-$A$299)/('Range Analysis'!J28/2),0,1,TRUE()))</f>
        <v>1.2237738501608664</v>
      </c>
      <c r="O299">
        <f>NORMDIST($A$299,0,'Range Analysis'!$F$8,FALSE())*(NORMDIST((('Range Analysis'!$F$6-IF('Range Analysis'!K29&lt;=0,0,'Range Analysis'!J29*MAX(0,1.04-EXP(0.38*LN('Range Analysis'!K29)-0.54))))-$A$299)/('Range Analysis'!J29/2),0,1,TRUE())-NORMDIST((-('Range Analysis'!$F$6-IF('Range Analysis'!K29&lt;=0,0,'Range Analysis'!J29*MAX(0,1.04-EXP(0.38*LN('Range Analysis'!K29)-0.54))))-$A$299)/('Range Analysis'!J29/2),0,1,TRUE()))</f>
        <v>0.5885953843561148</v>
      </c>
      <c r="P299">
        <f>NORMDIST($A$299,0,'Range Analysis'!$F$8,FALSE())*(NORMDIST((('Range Analysis'!$F$6-IF('Range Analysis'!K30&lt;=0,0,'Range Analysis'!J30*MAX(0,1.04-EXP(0.38*LN('Range Analysis'!K30)-0.54))))-$A$299)/('Range Analysis'!J30/2),0,1,TRUE())-NORMDIST((-('Range Analysis'!$F$6-IF('Range Analysis'!K30&lt;=0,0,'Range Analysis'!J30*MAX(0,1.04-EXP(0.38*LN('Range Analysis'!K30)-0.54))))-$A$299)/('Range Analysis'!J30/2),0,1,TRUE()))</f>
        <v>0.23712172767482367</v>
      </c>
      <c r="Q299">
        <f>NORMDIST($A$299,0,'Range Analysis'!$F$8,FALSE())*(NORMDIST(('Range Analysis'!$F$6-$A$299)/('Range Analysis'!J24/2),0,1,TRUE())-NORMDIST((-'Range Analysis'!$F$6-$A$299)/('Range Analysis'!J24/2),0,1,TRUE()))</f>
        <v>1.2199057508128082</v>
      </c>
      <c r="R299">
        <f>NORMDIST($A$299,0,'Range Analysis'!$F$8,FALSE())*(NORMDIST(('Range Analysis'!$F$6-$A$299)/('Range Analysis'!J25/2),0,1,TRUE())-NORMDIST((-'Range Analysis'!$F$6-$A$299)/('Range Analysis'!J25/2),0,1,TRUE()))</f>
        <v>1.2237738226370518</v>
      </c>
      <c r="S299">
        <f>NORMDIST($A$299,0,'Range Analysis'!$F$8,FALSE())*(NORMDIST(('Range Analysis'!$F$6-$A$299)/('Range Analysis'!J26/2),0,1,TRUE())-NORMDIST((-'Range Analysis'!$F$6-$A$299)/('Range Analysis'!J26/2),0,1,TRUE()))</f>
        <v>1.2237738226370518</v>
      </c>
      <c r="T299">
        <f>NORMDIST($A$299,0,'Range Analysis'!$F$8,FALSE())*(NORMDIST(('Range Analysis'!$F$6-$A$299)/('Range Analysis'!J27/2),0,1,TRUE())-NORMDIST((-'Range Analysis'!$F$6-$A$299)/('Range Analysis'!J27/2),0,1,TRUE()))</f>
        <v>1.2237738501288358</v>
      </c>
      <c r="U299">
        <f>NORMDIST($A$299,0,'Range Analysis'!$F$8,FALSE())*(NORMDIST(('Range Analysis'!$F$6-$A$299)/('Range Analysis'!J28/2),0,1,TRUE())-NORMDIST((-'Range Analysis'!$F$6-$A$299)/('Range Analysis'!J28/2),0,1,TRUE()))</f>
        <v>1.2237738501608664</v>
      </c>
      <c r="V299">
        <f>NORMDIST($A$299,0,'Range Analysis'!$F$8,FALSE())*(NORMDIST(('Range Analysis'!$F$6-$A$299)/('Range Analysis'!J29/2),0,1,TRUE())-NORMDIST((-'Range Analysis'!$F$6-$A$299)/('Range Analysis'!J29/2),0,1,TRUE()))</f>
        <v>1.0886800600394819</v>
      </c>
      <c r="W299">
        <f>NORMDIST($A$299,0,'Range Analysis'!$F$8,FALSE())*(NORMDIST((('Range Analysis'!$F$6-0)-$A$299)/('Range Analysis'!J30/2),0,1,TRUE())-NORMDIST((-('Range Analysis'!$F$6-0)-$A$299)/('Range Analysis'!J30/2),0,1,TRUE()))</f>
        <v>0.98529247317254931</v>
      </c>
    </row>
    <row r="300" spans="1:23" ht="15" customHeight="1" x14ac:dyDescent="0.25">
      <c r="A300">
        <f>-'Range Analysis'!$F$6+24*$B$275</f>
        <v>0.11538461538461542</v>
      </c>
      <c r="C300">
        <f>NORMDIST($A$300,0,'Range Analysis'!$F$8,FALSE())*(NORMDIST((('Range Analysis'!$F$6-0.98*'Range Analysis'!J24)-$A$300)/('Range Analysis'!J24/2),0,1,TRUE())-NORMDIST((-('Range Analysis'!$F$6-0.98*'Range Analysis'!J24)-$A$300)/('Range Analysis'!J24/2),0,1,TRUE()))</f>
        <v>0.84708133451709644</v>
      </c>
      <c r="D300">
        <f>NORMDIST($A$300,0,'Range Analysis'!$F$8,FALSE())*(NORMDIST((('Range Analysis'!$F$6-0.98*'Range Analysis'!J25)-$A$300)/('Range Analysis'!J25/2),0,1,TRUE())-NORMDIST((-('Range Analysis'!$F$6-0.98*'Range Analysis'!J25)-$A$300)/('Range Analysis'!J25/2),0,1,TRUE()))</f>
        <v>1.1904166002576908</v>
      </c>
      <c r="E300">
        <f>NORMDIST($A$300,0,'Range Analysis'!$F$8,FALSE())*(NORMDIST((('Range Analysis'!$F$6-0.98*'Range Analysis'!J26)-$A$300)/('Range Analysis'!J26/2),0,1,TRUE())-NORMDIST((-('Range Analysis'!$F$6-0.98*'Range Analysis'!J26)-$A$300)/('Range Analysis'!J26/2),0,1,TRUE()))</f>
        <v>1.1904166002576908</v>
      </c>
      <c r="F300">
        <f>NORMDIST($A$300,0,'Range Analysis'!$F$8,FALSE())*(NORMDIST((('Range Analysis'!$F$6-0.98*'Range Analysis'!J27)-$A$300)/('Range Analysis'!J27/2),0,1,TRUE())-NORMDIST((-('Range Analysis'!$F$6-0.98*'Range Analysis'!J27)-$A$300)/('Range Analysis'!J27/2),0,1,TRUE()))</f>
        <v>1.1913139141226574</v>
      </c>
      <c r="G300">
        <f>NORMDIST($A$300,0,'Range Analysis'!$F$8,FALSE())*(NORMDIST((('Range Analysis'!$F$6-0.98*'Range Analysis'!J28)-$A$300)/('Range Analysis'!J28/2),0,1,TRUE())-NORMDIST((-('Range Analysis'!$F$6-0.98*'Range Analysis'!J28)-$A$300)/('Range Analysis'!J28/2),0,1,TRUE()))</f>
        <v>1.1913302510743775</v>
      </c>
      <c r="H300">
        <f>NORMDIST($A$300,0,'Range Analysis'!$F$8,FALSE())*(NORMDIST((('Range Analysis'!$F$6-0.98*'Range Analysis'!J29)-$A$300)/('Range Analysis'!J29/2),0,1,TRUE())-NORMDIST((-('Range Analysis'!$F$6-0.98*'Range Analysis'!J29)-$A$300)/('Range Analysis'!J29/2),0,1,TRUE()))</f>
        <v>-0.25581688858244161</v>
      </c>
      <c r="I300">
        <f>NORMDIST($A$300,0,'Range Analysis'!$F$8,FALSE())*(NORMDIST((('Range Analysis'!$F$6-0.98*'Range Analysis'!J30)-$A$300)/('Range Analysis'!J30/2),0,1,TRUE())-NORMDIST((-('Range Analysis'!$F$6-0.98*'Range Analysis'!J30)-$A$300)/('Range Analysis'!J30/2),0,1,TRUE()))</f>
        <v>-0.53617920098091643</v>
      </c>
      <c r="J300">
        <f>NORMDIST($A$300,0,'Range Analysis'!$F$8,FALSE())*(NORMDIST((('Range Analysis'!$F$6-IF('Range Analysis'!K24&lt;=0,0,'Range Analysis'!J24*MAX(0,1.04-EXP(0.38*LN('Range Analysis'!K24)-0.54))))-$A$300)/('Range Analysis'!J24/2),0,1,TRUE())-NORMDIST((-('Range Analysis'!$F$6-IF('Range Analysis'!K24&lt;=0,0,'Range Analysis'!J24*MAX(0,1.04-EXP(0.38*LN('Range Analysis'!K24)-0.54))))-$A$300)/('Range Analysis'!J24/2),0,1,TRUE()))</f>
        <v>1.1567142894516014</v>
      </c>
      <c r="K300">
        <f>NORMDIST($A$300,0,'Range Analysis'!$F$8,FALSE())*(NORMDIST((('Range Analysis'!$F$6-IF('Range Analysis'!K25&lt;=0,0,'Range Analysis'!J25*MAX(0,1.04-EXP(0.38*LN('Range Analysis'!K25)-0.54))))-$A$300)/('Range Analysis'!J25/2),0,1,TRUE())-NORMDIST((-('Range Analysis'!$F$6-IF('Range Analysis'!K25&lt;=0,0,'Range Analysis'!J25*MAX(0,1.04-EXP(0.38*LN('Range Analysis'!K25)-0.54))))-$A$300)/('Range Analysis'!J25/2),0,1,TRUE()))</f>
        <v>1.1913296499589376</v>
      </c>
      <c r="L300">
        <f>NORMDIST($A$300,0,'Range Analysis'!$F$8,FALSE())*(NORMDIST((('Range Analysis'!$F$6-IF('Range Analysis'!K26&lt;=0,0,'Range Analysis'!J26*MAX(0,1.04-EXP(0.38*LN('Range Analysis'!K26)-0.54))))-$A$300)/('Range Analysis'!J26/2),0,1,TRUE())-NORMDIST((-('Range Analysis'!$F$6-IF('Range Analysis'!K26&lt;=0,0,'Range Analysis'!J26*MAX(0,1.04-EXP(0.38*LN('Range Analysis'!K26)-0.54))))-$A$300)/('Range Analysis'!J26/2),0,1,TRUE()))</f>
        <v>1.1913296499589376</v>
      </c>
      <c r="M300">
        <f>NORMDIST($A$300,0,'Range Analysis'!$F$8,FALSE())*(NORMDIST((('Range Analysis'!$F$6-IF('Range Analysis'!K27&lt;=0,0,'Range Analysis'!J27*MAX(0,1.04-EXP(0.38*LN('Range Analysis'!K27)-0.54))))-$A$300)/('Range Analysis'!J27/2),0,1,TRUE())-NORMDIST((-('Range Analysis'!$F$6-IF('Range Analysis'!K27&lt;=0,0,'Range Analysis'!J27*MAX(0,1.04-EXP(0.38*LN('Range Analysis'!K27)-0.54))))-$A$300)/('Range Analysis'!J27/2),0,1,TRUE()))</f>
        <v>1.1913302501986534</v>
      </c>
      <c r="N300">
        <f>NORMDIST($A$300,0,'Range Analysis'!$F$8,FALSE())*(NORMDIST((('Range Analysis'!$F$6-IF('Range Analysis'!K28&lt;=0,0,'Range Analysis'!J28*MAX(0,1.04-EXP(0.38*LN('Range Analysis'!K28)-0.54))))-$A$300)/('Range Analysis'!J28/2),0,1,TRUE())-NORMDIST((-('Range Analysis'!$F$6-IF('Range Analysis'!K28&lt;=0,0,'Range Analysis'!J28*MAX(0,1.04-EXP(0.38*LN('Range Analysis'!K28)-0.54))))-$A$300)/('Range Analysis'!J28/2),0,1,TRUE()))</f>
        <v>1.1913302510743775</v>
      </c>
      <c r="O300">
        <f>NORMDIST($A$300,0,'Range Analysis'!$F$8,FALSE())*(NORMDIST((('Range Analysis'!$F$6-IF('Range Analysis'!K29&lt;=0,0,'Range Analysis'!J29*MAX(0,1.04-EXP(0.38*LN('Range Analysis'!K29)-0.54))))-$A$300)/('Range Analysis'!J29/2),0,1,TRUE())-NORMDIST((-('Range Analysis'!$F$6-IF('Range Analysis'!K29&lt;=0,0,'Range Analysis'!J29*MAX(0,1.04-EXP(0.38*LN('Range Analysis'!K29)-0.54))))-$A$300)/('Range Analysis'!J29/2),0,1,TRUE()))</f>
        <v>0.55880507665881085</v>
      </c>
      <c r="P300">
        <f>NORMDIST($A$300,0,'Range Analysis'!$F$8,FALSE())*(NORMDIST((('Range Analysis'!$F$6-IF('Range Analysis'!K30&lt;=0,0,'Range Analysis'!J30*MAX(0,1.04-EXP(0.38*LN('Range Analysis'!K30)-0.54))))-$A$300)/('Range Analysis'!J30/2),0,1,TRUE())-NORMDIST((-('Range Analysis'!$F$6-IF('Range Analysis'!K30&lt;=0,0,'Range Analysis'!J30*MAX(0,1.04-EXP(0.38*LN('Range Analysis'!K30)-0.54))))-$A$300)/('Range Analysis'!J30/2),0,1,TRUE()))</f>
        <v>0.22664779907575036</v>
      </c>
      <c r="Q300">
        <f>NORMDIST($A$300,0,'Range Analysis'!$F$8,FALSE())*(NORMDIST(('Range Analysis'!$F$6-$A$300)/('Range Analysis'!J24/2),0,1,TRUE())-NORMDIST((-'Range Analysis'!$F$6-$A$300)/('Range Analysis'!J24/2),0,1,TRUE()))</f>
        <v>1.1851441753078815</v>
      </c>
      <c r="R300">
        <f>NORMDIST($A$300,0,'Range Analysis'!$F$8,FALSE())*(NORMDIST(('Range Analysis'!$F$6-$A$300)/('Range Analysis'!J25/2),0,1,TRUE())-NORMDIST((-'Range Analysis'!$F$6-$A$300)/('Range Analysis'!J25/2),0,1,TRUE()))</f>
        <v>1.1913300768318327</v>
      </c>
      <c r="S300">
        <f>NORMDIST($A$300,0,'Range Analysis'!$F$8,FALSE())*(NORMDIST(('Range Analysis'!$F$6-$A$300)/('Range Analysis'!J26/2),0,1,TRUE())-NORMDIST((-'Range Analysis'!$F$6-$A$300)/('Range Analysis'!J26/2),0,1,TRUE()))</f>
        <v>1.1913300768318327</v>
      </c>
      <c r="T300">
        <f>NORMDIST($A$300,0,'Range Analysis'!$F$8,FALSE())*(NORMDIST(('Range Analysis'!$F$6-$A$300)/('Range Analysis'!J27/2),0,1,TRUE())-NORMDIST((-'Range Analysis'!$F$6-$A$300)/('Range Analysis'!J27/2),0,1,TRUE()))</f>
        <v>1.1913302506238996</v>
      </c>
      <c r="U300">
        <f>NORMDIST($A$300,0,'Range Analysis'!$F$8,FALSE())*(NORMDIST(('Range Analysis'!$F$6-$A$300)/('Range Analysis'!J28/2),0,1,TRUE())-NORMDIST((-'Range Analysis'!$F$6-$A$300)/('Range Analysis'!J28/2),0,1,TRUE()))</f>
        <v>1.1913302510743775</v>
      </c>
      <c r="V300">
        <f>NORMDIST($A$300,0,'Range Analysis'!$F$8,FALSE())*(NORMDIST(('Range Analysis'!$F$6-$A$300)/('Range Analysis'!J29/2),0,1,TRUE())-NORMDIST((-'Range Analysis'!$F$6-$A$300)/('Range Analysis'!J29/2),0,1,TRUE()))</f>
        <v>1.0483324121855571</v>
      </c>
      <c r="W300">
        <f>NORMDIST($A$300,0,'Range Analysis'!$F$8,FALSE())*(NORMDIST((('Range Analysis'!$F$6-0)-$A$300)/('Range Analysis'!J30/2),0,1,TRUE())-NORMDIST((-('Range Analysis'!$F$6-0)-$A$300)/('Range Analysis'!J30/2),0,1,TRUE()))</f>
        <v>0.94957782367246113</v>
      </c>
    </row>
    <row r="301" spans="1:23" ht="15" customHeight="1" x14ac:dyDescent="0.25">
      <c r="A301">
        <f>-'Range Analysis'!$F$6+25*$B$275</f>
        <v>0.14102564102564097</v>
      </c>
      <c r="C301">
        <f>NORMDIST($A$301,0,'Range Analysis'!$F$8,FALSE())*(NORMDIST((('Range Analysis'!$F$6-0.98*'Range Analysis'!J24)-$A$301)/('Range Analysis'!J24/2),0,1,TRUE())-NORMDIST((-('Range Analysis'!$F$6-0.98*'Range Analysis'!J24)-$A$301)/('Range Analysis'!J24/2),0,1,TRUE()))</f>
        <v>0.75708773237515958</v>
      </c>
      <c r="D301">
        <f>NORMDIST($A$301,0,'Range Analysis'!$F$8,FALSE())*(NORMDIST((('Range Analysis'!$F$6-0.98*'Range Analysis'!J25)-$A$301)/('Range Analysis'!J25/2),0,1,TRUE())-NORMDIST((-('Range Analysis'!$F$6-0.98*'Range Analysis'!J25)-$A$301)/('Range Analysis'!J25/2),0,1,TRUE()))</f>
        <v>1.1492705207315164</v>
      </c>
      <c r="E301">
        <f>NORMDIST($A$301,0,'Range Analysis'!$F$8,FALSE())*(NORMDIST((('Range Analysis'!$F$6-0.98*'Range Analysis'!J26)-$A$301)/('Range Analysis'!J26/2),0,1,TRUE())-NORMDIST((-('Range Analysis'!$F$6-0.98*'Range Analysis'!J26)-$A$301)/('Range Analysis'!J26/2),0,1,TRUE()))</f>
        <v>1.1492705207315164</v>
      </c>
      <c r="F301">
        <f>NORMDIST($A$301,0,'Range Analysis'!$F$8,FALSE())*(NORMDIST((('Range Analysis'!$F$6-0.98*'Range Analysis'!J27)-$A$301)/('Range Analysis'!J27/2),0,1,TRUE())-NORMDIST((-('Range Analysis'!$F$6-0.98*'Range Analysis'!J27)-$A$301)/('Range Analysis'!J27/2),0,1,TRUE()))</f>
        <v>1.1518935661481753</v>
      </c>
      <c r="G301">
        <f>NORMDIST($A$301,0,'Range Analysis'!$F$8,FALSE())*(NORMDIST((('Range Analysis'!$F$6-0.98*'Range Analysis'!J28)-$A$301)/('Range Analysis'!J28/2),0,1,TRUE())-NORMDIST((-('Range Analysis'!$F$6-0.98*'Range Analysis'!J28)-$A$301)/('Range Analysis'!J28/2),0,1,TRUE()))</f>
        <v>1.1519826043525601</v>
      </c>
      <c r="H301">
        <f>NORMDIST($A$301,0,'Range Analysis'!$F$8,FALSE())*(NORMDIST((('Range Analysis'!$F$6-0.98*'Range Analysis'!J29)-$A$301)/('Range Analysis'!J29/2),0,1,TRUE())-NORMDIST((-('Range Analysis'!$F$6-0.98*'Range Analysis'!J29)-$A$301)/('Range Analysis'!J29/2),0,1,TRUE()))</f>
        <v>-0.23874229897354907</v>
      </c>
      <c r="I301">
        <f>NORMDIST($A$301,0,'Range Analysis'!$F$8,FALSE())*(NORMDIST((('Range Analysis'!$F$6-0.98*'Range Analysis'!J30)-$A$301)/('Range Analysis'!J30/2),0,1,TRUE())-NORMDIST((-('Range Analysis'!$F$6-0.98*'Range Analysis'!J30)-$A$301)/('Range Analysis'!J30/2),0,1,TRUE()))</f>
        <v>-0.50795899910643194</v>
      </c>
      <c r="J301">
        <f>NORMDIST($A$301,0,'Range Analysis'!$F$8,FALSE())*(NORMDIST((('Range Analysis'!$F$6-IF('Range Analysis'!K24&lt;=0,0,'Range Analysis'!J24*MAX(0,1.04-EXP(0.38*LN('Range Analysis'!K24)-0.54))))-$A$301)/('Range Analysis'!J24/2),0,1,TRUE())-NORMDIST((-('Range Analysis'!$F$6-IF('Range Analysis'!K24&lt;=0,0,'Range Analysis'!J24*MAX(0,1.04-EXP(0.38*LN('Range Analysis'!K24)-0.54))))-$A$301)/('Range Analysis'!J24/2),0,1,TRUE()))</f>
        <v>1.1034648166611458</v>
      </c>
      <c r="K301">
        <f>NORMDIST($A$301,0,'Range Analysis'!$F$8,FALSE())*(NORMDIST((('Range Analysis'!$F$6-IF('Range Analysis'!K25&lt;=0,0,'Range Analysis'!J25*MAX(0,1.04-EXP(0.38*LN('Range Analysis'!K25)-0.54))))-$A$301)/('Range Analysis'!J25/2),0,1,TRUE())-NORMDIST((-('Range Analysis'!$F$6-IF('Range Analysis'!K25&lt;=0,0,'Range Analysis'!J25*MAX(0,1.04-EXP(0.38*LN('Range Analysis'!K25)-0.54))))-$A$301)/('Range Analysis'!J25/2),0,1,TRUE()))</f>
        <v>1.1519794843792073</v>
      </c>
      <c r="L301">
        <f>NORMDIST($A$301,0,'Range Analysis'!$F$8,FALSE())*(NORMDIST((('Range Analysis'!$F$6-IF('Range Analysis'!K26&lt;=0,0,'Range Analysis'!J26*MAX(0,1.04-EXP(0.38*LN('Range Analysis'!K26)-0.54))))-$A$301)/('Range Analysis'!J26/2),0,1,TRUE())-NORMDIST((-('Range Analysis'!$F$6-IF('Range Analysis'!K26&lt;=0,0,'Range Analysis'!J26*MAX(0,1.04-EXP(0.38*LN('Range Analysis'!K26)-0.54))))-$A$301)/('Range Analysis'!J26/2),0,1,TRUE()))</f>
        <v>1.1519794843792073</v>
      </c>
      <c r="M301">
        <f>NORMDIST($A$301,0,'Range Analysis'!$F$8,FALSE())*(NORMDIST((('Range Analysis'!$F$6-IF('Range Analysis'!K27&lt;=0,0,'Range Analysis'!J27*MAX(0,1.04-EXP(0.38*LN('Range Analysis'!K27)-0.54))))-$A$301)/('Range Analysis'!J27/2),0,1,TRUE())-NORMDIST((-('Range Analysis'!$F$6-IF('Range Analysis'!K27&lt;=0,0,'Range Analysis'!J27*MAX(0,1.04-EXP(0.38*LN('Range Analysis'!K27)-0.54))))-$A$301)/('Range Analysis'!J27/2),0,1,TRUE()))</f>
        <v>1.1519825944057795</v>
      </c>
      <c r="N301">
        <f>NORMDIST($A$301,0,'Range Analysis'!$F$8,FALSE())*(NORMDIST((('Range Analysis'!$F$6-IF('Range Analysis'!K28&lt;=0,0,'Range Analysis'!J28*MAX(0,1.04-EXP(0.38*LN('Range Analysis'!K28)-0.54))))-$A$301)/('Range Analysis'!J28/2),0,1,TRUE())-NORMDIST((-('Range Analysis'!$F$6-IF('Range Analysis'!K28&lt;=0,0,'Range Analysis'!J28*MAX(0,1.04-EXP(0.38*LN('Range Analysis'!K28)-0.54))))-$A$301)/('Range Analysis'!J28/2),0,1,TRUE()))</f>
        <v>1.1519826043525601</v>
      </c>
      <c r="O301">
        <f>NORMDIST($A$301,0,'Range Analysis'!$F$8,FALSE())*(NORMDIST((('Range Analysis'!$F$6-IF('Range Analysis'!K29&lt;=0,0,'Range Analysis'!J29*MAX(0,1.04-EXP(0.38*LN('Range Analysis'!K29)-0.54))))-$A$301)/('Range Analysis'!J29/2),0,1,TRUE())-NORMDIST((-('Range Analysis'!$F$6-IF('Range Analysis'!K29&lt;=0,0,'Range Analysis'!J29*MAX(0,1.04-EXP(0.38*LN('Range Analysis'!K29)-0.54))))-$A$301)/('Range Analysis'!J29/2),0,1,TRUE()))</f>
        <v>0.52367367258120867</v>
      </c>
      <c r="P301">
        <f>NORMDIST($A$301,0,'Range Analysis'!$F$8,FALSE())*(NORMDIST((('Range Analysis'!$F$6-IF('Range Analysis'!K30&lt;=0,0,'Range Analysis'!J30*MAX(0,1.04-EXP(0.38*LN('Range Analysis'!K30)-0.54))))-$A$301)/('Range Analysis'!J30/2),0,1,TRUE())-NORMDIST((-('Range Analysis'!$F$6-IF('Range Analysis'!K30&lt;=0,0,'Range Analysis'!J30*MAX(0,1.04-EXP(0.38*LN('Range Analysis'!K30)-0.54))))-$A$301)/('Range Analysis'!J30/2),0,1,TRUE()))</f>
        <v>0.21420354938829772</v>
      </c>
      <c r="Q301">
        <f>NORMDIST($A$301,0,'Range Analysis'!$F$8,FALSE())*(NORMDIST(('Range Analysis'!$F$6-$A$301)/('Range Analysis'!J24/2),0,1,TRUE())-NORMDIST((-'Range Analysis'!$F$6-$A$301)/('Range Analysis'!J24/2),0,1,TRUE()))</f>
        <v>1.1423502508298617</v>
      </c>
      <c r="R301">
        <f>NORMDIST($A$301,0,'Range Analysis'!$F$8,FALSE())*(NORMDIST(('Range Analysis'!$F$6-$A$301)/('Range Analysis'!J25/2),0,1,TRUE())-NORMDIST((-'Range Analysis'!$F$6-$A$301)/('Range Analysis'!J25/2),0,1,TRUE()))</f>
        <v>1.151981625955903</v>
      </c>
      <c r="S301">
        <f>NORMDIST($A$301,0,'Range Analysis'!$F$8,FALSE())*(NORMDIST(('Range Analysis'!$F$6-$A$301)/('Range Analysis'!J26/2),0,1,TRUE())-NORMDIST((-'Range Analysis'!$F$6-$A$301)/('Range Analysis'!J26/2),0,1,TRUE()))</f>
        <v>1.151981625955903</v>
      </c>
      <c r="T301">
        <f>NORMDIST($A$301,0,'Range Analysis'!$F$8,FALSE())*(NORMDIST(('Range Analysis'!$F$6-$A$301)/('Range Analysis'!J27/2),0,1,TRUE())-NORMDIST((-'Range Analysis'!$F$6-$A$301)/('Range Analysis'!J27/2),0,1,TRUE()))</f>
        <v>1.1519825990136849</v>
      </c>
      <c r="U301">
        <f>NORMDIST($A$301,0,'Range Analysis'!$F$8,FALSE())*(NORMDIST(('Range Analysis'!$F$6-$A$301)/('Range Analysis'!J28/2),0,1,TRUE())-NORMDIST((-'Range Analysis'!$F$6-$A$301)/('Range Analysis'!J28/2),0,1,TRUE()))</f>
        <v>1.1519826043525601</v>
      </c>
      <c r="V301">
        <f>NORMDIST($A$301,0,'Range Analysis'!$F$8,FALSE())*(NORMDIST(('Range Analysis'!$F$6-$A$301)/('Range Analysis'!J29/2),0,1,TRUE())-NORMDIST((-'Range Analysis'!$F$6-$A$301)/('Range Analysis'!J29/2),0,1,TRUE()))</f>
        <v>0.99987021905792506</v>
      </c>
      <c r="W301">
        <f>NORMDIST($A$301,0,'Range Analysis'!$F$8,FALSE())*(NORMDIST((('Range Analysis'!$F$6-0)-$A$301)/('Range Analysis'!J30/2),0,1,TRUE())-NORMDIST((-('Range Analysis'!$F$6-0)-$A$301)/('Range Analysis'!J30/2),0,1,TRUE()))</f>
        <v>0.90671968894275989</v>
      </c>
    </row>
    <row r="302" spans="1:23" ht="15" customHeight="1" x14ac:dyDescent="0.25">
      <c r="A302">
        <f>-'Range Analysis'!$F$6+26*$B$275</f>
        <v>0.16666666666666663</v>
      </c>
      <c r="C302">
        <f>NORMDIST($A$302,0,'Range Analysis'!$F$8,FALSE())*(NORMDIST((('Range Analysis'!$F$6-0.98*'Range Analysis'!J24)-$A$302)/('Range Analysis'!J24/2),0,1,TRUE())-NORMDIST((-('Range Analysis'!$F$6-0.98*'Range Analysis'!J24)-$A$302)/('Range Analysis'!J24/2),0,1,TRUE()))</f>
        <v>0.66049738732789831</v>
      </c>
      <c r="D302">
        <f>NORMDIST($A$302,0,'Range Analysis'!$F$8,FALSE())*(NORMDIST((('Range Analysis'!$F$6-0.98*'Range Analysis'!J25)-$A$302)/('Range Analysis'!J25/2),0,1,TRUE())-NORMDIST((-('Range Analysis'!$F$6-0.98*'Range Analysis'!J25)-$A$302)/('Range Analysis'!J25/2),0,1,TRUE()))</f>
        <v>1.099298602961496</v>
      </c>
      <c r="E302">
        <f>NORMDIST($A$302,0,'Range Analysis'!$F$8,FALSE())*(NORMDIST((('Range Analysis'!$F$6-0.98*'Range Analysis'!J26)-$A$302)/('Range Analysis'!J26/2),0,1,TRUE())-NORMDIST((-('Range Analysis'!$F$6-0.98*'Range Analysis'!J26)-$A$302)/('Range Analysis'!J26/2),0,1,TRUE()))</f>
        <v>1.099298602961496</v>
      </c>
      <c r="F302">
        <f>NORMDIST($A$302,0,'Range Analysis'!$F$8,FALSE())*(NORMDIST((('Range Analysis'!$F$6-0.98*'Range Analysis'!J27)-$A$302)/('Range Analysis'!J27/2),0,1,TRUE())-NORMDIST((-('Range Analysis'!$F$6-0.98*'Range Analysis'!J27)-$A$302)/('Range Analysis'!J27/2),0,1,TRUE()))</f>
        <v>1.1060662236146737</v>
      </c>
      <c r="G302">
        <f>NORMDIST($A$302,0,'Range Analysis'!$F$8,FALSE())*(NORMDIST((('Range Analysis'!$F$6-0.98*'Range Analysis'!J28)-$A$302)/('Range Analysis'!J28/2),0,1,TRUE())-NORMDIST((-('Range Analysis'!$F$6-0.98*'Range Analysis'!J28)-$A$302)/('Range Analysis'!J28/2),0,1,TRUE()))</f>
        <v>1.1064770806285491</v>
      </c>
      <c r="H302">
        <f>NORMDIST($A$302,0,'Range Analysis'!$F$8,FALSE())*(NORMDIST((('Range Analysis'!$F$6-0.98*'Range Analysis'!J29)-$A$302)/('Range Analysis'!J29/2),0,1,TRUE())-NORMDIST((-('Range Analysis'!$F$6-0.98*'Range Analysis'!J29)-$A$302)/('Range Analysis'!J29/2),0,1,TRUE()))</f>
        <v>-0.21975022071012898</v>
      </c>
      <c r="I302">
        <f>NORMDIST($A$302,0,'Range Analysis'!$F$8,FALSE())*(NORMDIST((('Range Analysis'!$F$6-0.98*'Range Analysis'!J30)-$A$302)/('Range Analysis'!J30/2),0,1,TRUE())-NORMDIST((-('Range Analysis'!$F$6-0.98*'Range Analysis'!J30)-$A$302)/('Range Analysis'!J30/2),0,1,TRUE()))</f>
        <v>-0.4760463800676813</v>
      </c>
      <c r="J302">
        <f>NORMDIST($A$302,0,'Range Analysis'!$F$8,FALSE())*(NORMDIST((('Range Analysis'!$F$6-IF('Range Analysis'!K24&lt;=0,0,'Range Analysis'!J24*MAX(0,1.04-EXP(0.38*LN('Range Analysis'!K24)-0.54))))-$A$302)/('Range Analysis'!J24/2),0,1,TRUE())-NORMDIST((-('Range Analysis'!$F$6-IF('Range Analysis'!K24&lt;=0,0,'Range Analysis'!J24*MAX(0,1.04-EXP(0.38*LN('Range Analysis'!K24)-0.54))))-$A$302)/('Range Analysis'!J24/2),0,1,TRUE()))</f>
        <v>1.0403481046918557</v>
      </c>
      <c r="K302">
        <f>NORMDIST($A$302,0,'Range Analysis'!$F$8,FALSE())*(NORMDIST((('Range Analysis'!$F$6-IF('Range Analysis'!K25&lt;=0,0,'Range Analysis'!J25*MAX(0,1.04-EXP(0.38*LN('Range Analysis'!K25)-0.54))))-$A$302)/('Range Analysis'!J25/2),0,1,TRUE())-NORMDIST((-('Range Analysis'!$F$6-IF('Range Analysis'!K25&lt;=0,0,'Range Analysis'!J25*MAX(0,1.04-EXP(0.38*LN('Range Analysis'!K25)-0.54))))-$A$302)/('Range Analysis'!J25/2),0,1,TRUE()))</f>
        <v>1.1064627056986303</v>
      </c>
      <c r="L302">
        <f>NORMDIST($A$302,0,'Range Analysis'!$F$8,FALSE())*(NORMDIST((('Range Analysis'!$F$6-IF('Range Analysis'!K26&lt;=0,0,'Range Analysis'!J26*MAX(0,1.04-EXP(0.38*LN('Range Analysis'!K26)-0.54))))-$A$302)/('Range Analysis'!J26/2),0,1,TRUE())-NORMDIST((-('Range Analysis'!$F$6-IF('Range Analysis'!K26&lt;=0,0,'Range Analysis'!J26*MAX(0,1.04-EXP(0.38*LN('Range Analysis'!K26)-0.54))))-$A$302)/('Range Analysis'!J26/2),0,1,TRUE()))</f>
        <v>1.1064627056986303</v>
      </c>
      <c r="M302">
        <f>NORMDIST($A$302,0,'Range Analysis'!$F$8,FALSE())*(NORMDIST((('Range Analysis'!$F$6-IF('Range Analysis'!K27&lt;=0,0,'Range Analysis'!J27*MAX(0,1.04-EXP(0.38*LN('Range Analysis'!K27)-0.54))))-$A$302)/('Range Analysis'!J27/2),0,1,TRUE())-NORMDIST((-('Range Analysis'!$F$6-IF('Range Analysis'!K27&lt;=0,0,'Range Analysis'!J27*MAX(0,1.04-EXP(0.38*LN('Range Analysis'!K27)-0.54))))-$A$302)/('Range Analysis'!J27/2),0,1,TRUE()))</f>
        <v>1.1064769853619758</v>
      </c>
      <c r="N302">
        <f>NORMDIST($A$302,0,'Range Analysis'!$F$8,FALSE())*(NORMDIST((('Range Analysis'!$F$6-IF('Range Analysis'!K28&lt;=0,0,'Range Analysis'!J28*MAX(0,1.04-EXP(0.38*LN('Range Analysis'!K28)-0.54))))-$A$302)/('Range Analysis'!J28/2),0,1,TRUE())-NORMDIST((-('Range Analysis'!$F$6-IF('Range Analysis'!K28&lt;=0,0,'Range Analysis'!J28*MAX(0,1.04-EXP(0.38*LN('Range Analysis'!K28)-0.54))))-$A$302)/('Range Analysis'!J28/2),0,1,TRUE()))</f>
        <v>1.1064770806285491</v>
      </c>
      <c r="O302">
        <f>NORMDIST($A$302,0,'Range Analysis'!$F$8,FALSE())*(NORMDIST((('Range Analysis'!$F$6-IF('Range Analysis'!K29&lt;=0,0,'Range Analysis'!J29*MAX(0,1.04-EXP(0.38*LN('Range Analysis'!K29)-0.54))))-$A$302)/('Range Analysis'!J29/2),0,1,TRUE())-NORMDIST((-('Range Analysis'!$F$6-IF('Range Analysis'!K29&lt;=0,0,'Range Analysis'!J29*MAX(0,1.04-EXP(0.38*LN('Range Analysis'!K29)-0.54))))-$A$302)/('Range Analysis'!J29/2),0,1,TRUE()))</f>
        <v>0.48441260296554378</v>
      </c>
      <c r="P302">
        <f>NORMDIST($A$302,0,'Range Analysis'!$F$8,FALSE())*(NORMDIST((('Range Analysis'!$F$6-IF('Range Analysis'!K30&lt;=0,0,'Range Analysis'!J30*MAX(0,1.04-EXP(0.38*LN('Range Analysis'!K30)-0.54))))-$A$302)/('Range Analysis'!J30/2),0,1,TRUE())-NORMDIST((-('Range Analysis'!$F$6-IF('Range Analysis'!K30&lt;=0,0,'Range Analysis'!J30*MAX(0,1.04-EXP(0.38*LN('Range Analysis'!K30)-0.54))))-$A$302)/('Range Analysis'!J30/2),0,1,TRUE()))</f>
        <v>0.20016898914906744</v>
      </c>
      <c r="Q302">
        <f>NORMDIST($A$302,0,'Range Analysis'!$F$8,FALSE())*(NORMDIST(('Range Analysis'!$F$6-$A$302)/('Range Analysis'!J24/2),0,1,TRUE())-NORMDIST((-'Range Analysis'!$F$6-$A$302)/('Range Analysis'!J24/2),0,1,TRUE()))</f>
        <v>1.0919395743499432</v>
      </c>
      <c r="R302">
        <f>NORMDIST($A$302,0,'Range Analysis'!$F$8,FALSE())*(NORMDIST(('Range Analysis'!$F$6-$A$302)/('Range Analysis'!J25/2),0,1,TRUE())-NORMDIST((-'Range Analysis'!$F$6-$A$302)/('Range Analysis'!J25/2),0,1,TRUE()))</f>
        <v>1.1064722055306941</v>
      </c>
      <c r="S302">
        <f>NORMDIST($A$302,0,'Range Analysis'!$F$8,FALSE())*(NORMDIST(('Range Analysis'!$F$6-$A$302)/('Range Analysis'!J26/2),0,1,TRUE())-NORMDIST((-'Range Analysis'!$F$6-$A$302)/('Range Analysis'!J26/2),0,1,TRUE()))</f>
        <v>1.1064722055306941</v>
      </c>
      <c r="T302">
        <f>NORMDIST($A$302,0,'Range Analysis'!$F$8,FALSE())*(NORMDIST(('Range Analysis'!$F$6-$A$302)/('Range Analysis'!J27/2),0,1,TRUE())-NORMDIST((-'Range Analysis'!$F$6-$A$302)/('Range Analysis'!J27/2),0,1,TRUE()))</f>
        <v>1.1064770272819324</v>
      </c>
      <c r="U302">
        <f>NORMDIST($A$302,0,'Range Analysis'!$F$8,FALSE())*(NORMDIST(('Range Analysis'!$F$6-$A$302)/('Range Analysis'!J28/2),0,1,TRUE())-NORMDIST((-'Range Analysis'!$F$6-$A$302)/('Range Analysis'!J28/2),0,1,TRUE()))</f>
        <v>1.1064770806285491</v>
      </c>
      <c r="V302">
        <f>NORMDIST($A$302,0,'Range Analysis'!$F$8,FALSE())*(NORMDIST(('Range Analysis'!$F$6-$A$302)/('Range Analysis'!J29/2),0,1,TRUE())-NORMDIST((-'Range Analysis'!$F$6-$A$302)/('Range Analysis'!J29/2),0,1,TRUE()))</f>
        <v>0.94449502278764108</v>
      </c>
      <c r="W302">
        <f>NORMDIST($A$302,0,'Range Analysis'!$F$8,FALSE())*(NORMDIST((('Range Analysis'!$F$6-0)-$A$302)/('Range Analysis'!J30/2),0,1,TRUE())-NORMDIST((-('Range Analysis'!$F$6-0)-$A$302)/('Range Analysis'!J30/2),0,1,TRUE()))</f>
        <v>0.85779461011810409</v>
      </c>
    </row>
    <row r="303" spans="1:23" ht="15" customHeight="1" x14ac:dyDescent="0.25">
      <c r="A303">
        <f>-'Range Analysis'!$F$6+27*$B$275</f>
        <v>0.19230769230769229</v>
      </c>
      <c r="C303">
        <f>NORMDIST($A$303,0,'Range Analysis'!$F$8,FALSE())*(NORMDIST((('Range Analysis'!$F$6-0.98*'Range Analysis'!J24)-$A$303)/('Range Analysis'!J24/2),0,1,TRUE())-NORMDIST((-('Range Analysis'!$F$6-0.98*'Range Analysis'!J24)-$A$303)/('Range Analysis'!J24/2),0,1,TRUE()))</f>
        <v>0.56203541782091593</v>
      </c>
      <c r="D303">
        <f>NORMDIST($A$303,0,'Range Analysis'!$F$8,FALSE())*(NORMDIST((('Range Analysis'!$F$6-0.98*'Range Analysis'!J25)-$A$303)/('Range Analysis'!J25/2),0,1,TRUE())-NORMDIST((-('Range Analysis'!$F$6-0.98*'Range Analysis'!J25)-$A$303)/('Range Analysis'!J25/2),0,1,TRUE()))</f>
        <v>1.0386855392055663</v>
      </c>
      <c r="E303">
        <f>NORMDIST($A$303,0,'Range Analysis'!$F$8,FALSE())*(NORMDIST((('Range Analysis'!$F$6-0.98*'Range Analysis'!J26)-$A$303)/('Range Analysis'!J26/2),0,1,TRUE())-NORMDIST((-('Range Analysis'!$F$6-0.98*'Range Analysis'!J26)-$A$303)/('Range Analysis'!J26/2),0,1,TRUE()))</f>
        <v>1.0386855392055663</v>
      </c>
      <c r="F303">
        <f>NORMDIST($A$303,0,'Range Analysis'!$F$8,FALSE())*(NORMDIST((('Range Analysis'!$F$6-0.98*'Range Analysis'!J27)-$A$303)/('Range Analysis'!J27/2),0,1,TRUE())-NORMDIST((-('Range Analysis'!$F$6-0.98*'Range Analysis'!J27)-$A$303)/('Range Analysis'!J27/2),0,1,TRUE()))</f>
        <v>1.0540465278392228</v>
      </c>
      <c r="G303">
        <f>NORMDIST($A$303,0,'Range Analysis'!$F$8,FALSE())*(NORMDIST((('Range Analysis'!$F$6-0.98*'Range Analysis'!J28)-$A$303)/('Range Analysis'!J28/2),0,1,TRUE())-NORMDIST((-('Range Analysis'!$F$6-0.98*'Range Analysis'!J28)-$A$303)/('Range Analysis'!J28/2),0,1,TRUE()))</f>
        <v>1.055654185939134</v>
      </c>
      <c r="H303">
        <f>NORMDIST($A$303,0,'Range Analysis'!$F$8,FALSE())*(NORMDIST((('Range Analysis'!$F$6-0.98*'Range Analysis'!J29)-$A$303)/('Range Analysis'!J29/2),0,1,TRUE())-NORMDIST((-('Range Analysis'!$F$6-0.98*'Range Analysis'!J29)-$A$303)/('Range Analysis'!J29/2),0,1,TRUE()))</f>
        <v>-0.19949358072920123</v>
      </c>
      <c r="I303">
        <f>NORMDIST($A$303,0,'Range Analysis'!$F$8,FALSE())*(NORMDIST((('Range Analysis'!$F$6-0.98*'Range Analysis'!J30)-$A$303)/('Range Analysis'!J30/2),0,1,TRUE())-NORMDIST((-('Range Analysis'!$F$6-0.98*'Range Analysis'!J30)-$A$303)/('Range Analysis'!J30/2),0,1,TRUE()))</f>
        <v>-0.44133747033274223</v>
      </c>
      <c r="J303">
        <f>NORMDIST($A$303,0,'Range Analysis'!$F$8,FALSE())*(NORMDIST((('Range Analysis'!$F$6-IF('Range Analysis'!K24&lt;=0,0,'Range Analysis'!J24*MAX(0,1.04-EXP(0.38*LN('Range Analysis'!K24)-0.54))))-$A$303)/('Range Analysis'!J24/2),0,1,TRUE())-NORMDIST((-('Range Analysis'!$F$6-IF('Range Analysis'!K24&lt;=0,0,'Range Analysis'!J24*MAX(0,1.04-EXP(0.38*LN('Range Analysis'!K24)-0.54))))-$A$303)/('Range Analysis'!J24/2),0,1,TRUE()))</f>
        <v>0.96820272822170561</v>
      </c>
      <c r="K303">
        <f>NORMDIST($A$303,0,'Range Analysis'!$F$8,FALSE())*(NORMDIST((('Range Analysis'!$F$6-IF('Range Analysis'!K25&lt;=0,0,'Range Analysis'!J25*MAX(0,1.04-EXP(0.38*LN('Range Analysis'!K25)-0.54))))-$A$303)/('Range Analysis'!J25/2),0,1,TRUE())-NORMDIST((-('Range Analysis'!$F$6-IF('Range Analysis'!K25&lt;=0,0,'Range Analysis'!J25*MAX(0,1.04-EXP(0.38*LN('Range Analysis'!K25)-0.54))))-$A$303)/('Range Analysis'!J25/2),0,1,TRUE()))</f>
        <v>1.0555953587155182</v>
      </c>
      <c r="L303">
        <f>NORMDIST($A$303,0,'Range Analysis'!$F$8,FALSE())*(NORMDIST((('Range Analysis'!$F$6-IF('Range Analysis'!K26&lt;=0,0,'Range Analysis'!J26*MAX(0,1.04-EXP(0.38*LN('Range Analysis'!K26)-0.54))))-$A$303)/('Range Analysis'!J26/2),0,1,TRUE())-NORMDIST((-('Range Analysis'!$F$6-IF('Range Analysis'!K26&lt;=0,0,'Range Analysis'!J26*MAX(0,1.04-EXP(0.38*LN('Range Analysis'!K26)-0.54))))-$A$303)/('Range Analysis'!J26/2),0,1,TRUE()))</f>
        <v>1.0555953587155182</v>
      </c>
      <c r="M303">
        <f>NORMDIST($A$303,0,'Range Analysis'!$F$8,FALSE())*(NORMDIST((('Range Analysis'!$F$6-IF('Range Analysis'!K27&lt;=0,0,'Range Analysis'!J27*MAX(0,1.04-EXP(0.38*LN('Range Analysis'!K27)-0.54))))-$A$303)/('Range Analysis'!J27/2),0,1,TRUE())-NORMDIST((-('Range Analysis'!$F$6-IF('Range Analysis'!K27&lt;=0,0,'Range Analysis'!J27*MAX(0,1.04-EXP(0.38*LN('Range Analysis'!K27)-0.54))))-$A$303)/('Range Analysis'!J27/2),0,1,TRUE()))</f>
        <v>1.0556534160838413</v>
      </c>
      <c r="N303">
        <f>NORMDIST($A$303,0,'Range Analysis'!$F$8,FALSE())*(NORMDIST((('Range Analysis'!$F$6-IF('Range Analysis'!K28&lt;=0,0,'Range Analysis'!J28*MAX(0,1.04-EXP(0.38*LN('Range Analysis'!K28)-0.54))))-$A$303)/('Range Analysis'!J28/2),0,1,TRUE())-NORMDIST((-('Range Analysis'!$F$6-IF('Range Analysis'!K28&lt;=0,0,'Range Analysis'!J28*MAX(0,1.04-EXP(0.38*LN('Range Analysis'!K28)-0.54))))-$A$303)/('Range Analysis'!J28/2),0,1,TRUE()))</f>
        <v>1.055654185939134</v>
      </c>
      <c r="O303">
        <f>NORMDIST($A$303,0,'Range Analysis'!$F$8,FALSE())*(NORMDIST((('Range Analysis'!$F$6-IF('Range Analysis'!K29&lt;=0,0,'Range Analysis'!J29*MAX(0,1.04-EXP(0.38*LN('Range Analysis'!K29)-0.54))))-$A$303)/('Range Analysis'!J29/2),0,1,TRUE())-NORMDIST((-('Range Analysis'!$F$6-IF('Range Analysis'!K29&lt;=0,0,'Range Analysis'!J29*MAX(0,1.04-EXP(0.38*LN('Range Analysis'!K29)-0.54))))-$A$303)/('Range Analysis'!J29/2),0,1,TRUE()))</f>
        <v>0.44230446269040308</v>
      </c>
      <c r="P303">
        <f>NORMDIST($A$303,0,'Range Analysis'!$F$8,FALSE())*(NORMDIST((('Range Analysis'!$F$6-IF('Range Analysis'!K30&lt;=0,0,'Range Analysis'!J30*MAX(0,1.04-EXP(0.38*LN('Range Analysis'!K30)-0.54))))-$A$303)/('Range Analysis'!J30/2),0,1,TRUE())-NORMDIST((-('Range Analysis'!$F$6-IF('Range Analysis'!K30&lt;=0,0,'Range Analysis'!J30*MAX(0,1.04-EXP(0.38*LN('Range Analysis'!K30)-0.54))))-$A$303)/('Range Analysis'!J30/2),0,1,TRUE()))</f>
        <v>0.18495321094305864</v>
      </c>
      <c r="Q303">
        <f>NORMDIST($A$303,0,'Range Analysis'!$F$8,FALSE())*(NORMDIST(('Range Analysis'!$F$6-$A$303)/('Range Analysis'!J24/2),0,1,TRUE())-NORMDIST((-'Range Analysis'!$F$6-$A$303)/('Range Analysis'!J24/2),0,1,TRUE()))</f>
        <v>1.0344126232755375</v>
      </c>
      <c r="R303">
        <f>NORMDIST($A$303,0,'Range Analysis'!$F$8,FALSE())*(NORMDIST(('Range Analysis'!$F$6-$A$303)/('Range Analysis'!J25/2),0,1,TRUE())-NORMDIST((-'Range Analysis'!$F$6-$A$303)/('Range Analysis'!J25/2),0,1,TRUE()))</f>
        <v>1.0556326191035987</v>
      </c>
      <c r="S303">
        <f>NORMDIST($A$303,0,'Range Analysis'!$F$8,FALSE())*(NORMDIST(('Range Analysis'!$F$6-$A$303)/('Range Analysis'!J26/2),0,1,TRUE())-NORMDIST((-'Range Analysis'!$F$6-$A$303)/('Range Analysis'!J26/2),0,1,TRUE()))</f>
        <v>1.0556326191035987</v>
      </c>
      <c r="T303">
        <f>NORMDIST($A$303,0,'Range Analysis'!$F$8,FALSE())*(NORMDIST(('Range Analysis'!$F$6-$A$303)/('Range Analysis'!J27/2),0,1,TRUE())-NORMDIST((-'Range Analysis'!$F$6-$A$303)/('Range Analysis'!J27/2),0,1,TRUE()))</f>
        <v>1.055653736262413</v>
      </c>
      <c r="U303">
        <f>NORMDIST($A$303,0,'Range Analysis'!$F$8,FALSE())*(NORMDIST(('Range Analysis'!$F$6-$A$303)/('Range Analysis'!J28/2),0,1,TRUE())-NORMDIST((-'Range Analysis'!$F$6-$A$303)/('Range Analysis'!J28/2),0,1,TRUE()))</f>
        <v>1.055654185939134</v>
      </c>
      <c r="V303">
        <f>NORMDIST($A$303,0,'Range Analysis'!$F$8,FALSE())*(NORMDIST(('Range Analysis'!$F$6-$A$303)/('Range Analysis'!J29/2),0,1,TRUE())-NORMDIST((-'Range Analysis'!$F$6-$A$303)/('Range Analysis'!J29/2),0,1,TRUE()))</f>
        <v>0.88354186964291659</v>
      </c>
      <c r="W303">
        <f>NORMDIST($A$303,0,'Range Analysis'!$F$8,FALSE())*(NORMDIST((('Range Analysis'!$F$6-0)-$A$303)/('Range Analysis'!J30/2),0,1,TRUE())-NORMDIST((-('Range Analysis'!$F$6-0)-$A$303)/('Range Analysis'!J30/2),0,1,TRUE()))</f>
        <v>0.80398955652049864</v>
      </c>
    </row>
    <row r="304" spans="1:23" ht="15" customHeight="1" x14ac:dyDescent="0.25">
      <c r="A304">
        <f>-'Range Analysis'!$F$6+28*$B$275</f>
        <v>0.21794871794871795</v>
      </c>
      <c r="C304">
        <f>NORMDIST($A$304,0,'Range Analysis'!$F$8,FALSE())*(NORMDIST((('Range Analysis'!$F$6-0.98*'Range Analysis'!J24)-$A$304)/('Range Analysis'!J24/2),0,1,TRUE())-NORMDIST((-('Range Analysis'!$F$6-0.98*'Range Analysis'!J24)-$A$304)/('Range Analysis'!J24/2),0,1,TRUE()))</f>
        <v>0.46609739459254695</v>
      </c>
      <c r="D304">
        <f>NORMDIST($A$304,0,'Range Analysis'!$F$8,FALSE())*(NORMDIST((('Range Analysis'!$F$6-0.98*'Range Analysis'!J25)-$A$304)/('Range Analysis'!J25/2),0,1,TRUE())-NORMDIST((-('Range Analysis'!$F$6-0.98*'Range Analysis'!J25)-$A$304)/('Range Analysis'!J25/2),0,1,TRUE()))</f>
        <v>0.96453147346609536</v>
      </c>
      <c r="E304">
        <f>NORMDIST($A$304,0,'Range Analysis'!$F$8,FALSE())*(NORMDIST((('Range Analysis'!$F$6-0.98*'Range Analysis'!J26)-$A$304)/('Range Analysis'!J26/2),0,1,TRUE())-NORMDIST((-('Range Analysis'!$F$6-0.98*'Range Analysis'!J26)-$A$304)/('Range Analysis'!J26/2),0,1,TRUE()))</f>
        <v>0.96453147346609536</v>
      </c>
      <c r="F304">
        <f>NORMDIST($A$304,0,'Range Analysis'!$F$8,FALSE())*(NORMDIST((('Range Analysis'!$F$6-0.98*'Range Analysis'!J27)-$A$304)/('Range Analysis'!J27/2),0,1,TRUE())-NORMDIST((-('Range Analysis'!$F$6-0.98*'Range Analysis'!J27)-$A$304)/('Range Analysis'!J27/2),0,1,TRUE()))</f>
        <v>0.9950780318339929</v>
      </c>
      <c r="G304">
        <f>NORMDIST($A$304,0,'Range Analysis'!$F$8,FALSE())*(NORMDIST((('Range Analysis'!$F$6-0.98*'Range Analysis'!J28)-$A$304)/('Range Analysis'!J28/2),0,1,TRUE())-NORMDIST((-('Range Analysis'!$F$6-0.98*'Range Analysis'!J28)-$A$304)/('Range Analysis'!J28/2),0,1,TRUE()))</f>
        <v>1.0004230191675876</v>
      </c>
      <c r="H304">
        <f>NORMDIST($A$304,0,'Range Analysis'!$F$8,FALSE())*(NORMDIST((('Range Analysis'!$F$6-0.98*'Range Analysis'!J29)-$A$304)/('Range Analysis'!J29/2),0,1,TRUE())-NORMDIST((-('Range Analysis'!$F$6-0.98*'Range Analysis'!J29)-$A$304)/('Range Analysis'!J29/2),0,1,TRUE()))</f>
        <v>-0.1786191568892882</v>
      </c>
      <c r="I304">
        <f>NORMDIST($A$304,0,'Range Analysis'!$F$8,FALSE())*(NORMDIST((('Range Analysis'!$F$6-0.98*'Range Analysis'!J30)-$A$304)/('Range Analysis'!J30/2),0,1,TRUE())-NORMDIST((-('Range Analysis'!$F$6-0.98*'Range Analysis'!J30)-$A$304)/('Range Analysis'!J30/2),0,1,TRUE()))</f>
        <v>-0.40475490325141322</v>
      </c>
      <c r="J304">
        <f>NORMDIST($A$304,0,'Range Analysis'!$F$8,FALSE())*(NORMDIST((('Range Analysis'!$F$6-IF('Range Analysis'!K24&lt;=0,0,'Range Analysis'!J24*MAX(0,1.04-EXP(0.38*LN('Range Analysis'!K24)-0.54))))-$A$304)/('Range Analysis'!J24/2),0,1,TRUE())-NORMDIST((-('Range Analysis'!$F$6-IF('Range Analysis'!K24&lt;=0,0,'Range Analysis'!J24*MAX(0,1.04-EXP(0.38*LN('Range Analysis'!K24)-0.54))))-$A$304)/('Range Analysis'!J24/2),0,1,TRUE()))</f>
        <v>0.88827435301484281</v>
      </c>
      <c r="K304">
        <f>NORMDIST($A$304,0,'Range Analysis'!$F$8,FALSE())*(NORMDIST((('Range Analysis'!$F$6-IF('Range Analysis'!K25&lt;=0,0,'Range Analysis'!J25*MAX(0,1.04-EXP(0.38*LN('Range Analysis'!K25)-0.54))))-$A$304)/('Range Analysis'!J25/2),0,1,TRUE())-NORMDIST((-('Range Analysis'!$F$6-IF('Range Analysis'!K25&lt;=0,0,'Range Analysis'!J25*MAX(0,1.04-EXP(0.38*LN('Range Analysis'!K25)-0.54))))-$A$304)/('Range Analysis'!J25/2),0,1,TRUE()))</f>
        <v>1.0002090385508295</v>
      </c>
      <c r="L304">
        <f>NORMDIST($A$304,0,'Range Analysis'!$F$8,FALSE())*(NORMDIST((('Range Analysis'!$F$6-IF('Range Analysis'!K26&lt;=0,0,'Range Analysis'!J26*MAX(0,1.04-EXP(0.38*LN('Range Analysis'!K26)-0.54))))-$A$304)/('Range Analysis'!J26/2),0,1,TRUE())-NORMDIST((-('Range Analysis'!$F$6-IF('Range Analysis'!K26&lt;=0,0,'Range Analysis'!J26*MAX(0,1.04-EXP(0.38*LN('Range Analysis'!K26)-0.54))))-$A$304)/('Range Analysis'!J26/2),0,1,TRUE()))</f>
        <v>1.0002090385508295</v>
      </c>
      <c r="M304">
        <f>NORMDIST($A$304,0,'Range Analysis'!$F$8,FALSE())*(NORMDIST((('Range Analysis'!$F$6-IF('Range Analysis'!K27&lt;=0,0,'Range Analysis'!J27*MAX(0,1.04-EXP(0.38*LN('Range Analysis'!K27)-0.54))))-$A$304)/('Range Analysis'!J27/2),0,1,TRUE())-NORMDIST((-('Range Analysis'!$F$6-IF('Range Analysis'!K27&lt;=0,0,'Range Analysis'!J27*MAX(0,1.04-EXP(0.38*LN('Range Analysis'!K27)-0.54))))-$A$304)/('Range Analysis'!J27/2),0,1,TRUE()))</f>
        <v>1.000417766119245</v>
      </c>
      <c r="N304">
        <f>NORMDIST($A$304,0,'Range Analysis'!$F$8,FALSE())*(NORMDIST((('Range Analysis'!$F$6-IF('Range Analysis'!K28&lt;=0,0,'Range Analysis'!J28*MAX(0,1.04-EXP(0.38*LN('Range Analysis'!K28)-0.54))))-$A$304)/('Range Analysis'!J28/2),0,1,TRUE())-NORMDIST((-('Range Analysis'!$F$6-IF('Range Analysis'!K28&lt;=0,0,'Range Analysis'!J28*MAX(0,1.04-EXP(0.38*LN('Range Analysis'!K28)-0.54))))-$A$304)/('Range Analysis'!J28/2),0,1,TRUE()))</f>
        <v>1.0004230191675876</v>
      </c>
      <c r="O304">
        <f>NORMDIST($A$304,0,'Range Analysis'!$F$8,FALSE())*(NORMDIST((('Range Analysis'!$F$6-IF('Range Analysis'!K29&lt;=0,0,'Range Analysis'!J29*MAX(0,1.04-EXP(0.38*LN('Range Analysis'!K29)-0.54))))-$A$304)/('Range Analysis'!J29/2),0,1,TRUE())-NORMDIST((-('Range Analysis'!$F$6-IF('Range Analysis'!K29&lt;=0,0,'Range Analysis'!J29*MAX(0,1.04-EXP(0.38*LN('Range Analysis'!K29)-0.54))))-$A$304)/('Range Analysis'!J29/2),0,1,TRUE()))</f>
        <v>0.39863445138603953</v>
      </c>
      <c r="P304">
        <f>NORMDIST($A$304,0,'Range Analysis'!$F$8,FALSE())*(NORMDIST((('Range Analysis'!$F$6-IF('Range Analysis'!K30&lt;=0,0,'Range Analysis'!J30*MAX(0,1.04-EXP(0.38*LN('Range Analysis'!K30)-0.54))))-$A$304)/('Range Analysis'!J30/2),0,1,TRUE())-NORMDIST((-('Range Analysis'!$F$6-IF('Range Analysis'!K30&lt;=0,0,'Range Analysis'!J30*MAX(0,1.04-EXP(0.38*LN('Range Analysis'!K30)-0.54))))-$A$304)/('Range Analysis'!J30/2),0,1,TRUE()))</f>
        <v>0.16897477088970636</v>
      </c>
      <c r="Q304">
        <f>NORMDIST($A$304,0,'Range Analysis'!$F$8,FALSE())*(NORMDIST(('Range Analysis'!$F$6-$A$304)/('Range Analysis'!J24/2),0,1,TRUE())-NORMDIST((-'Range Analysis'!$F$6-$A$304)/('Range Analysis'!J24/2),0,1,TRUE()))</f>
        <v>0.97037871640892048</v>
      </c>
      <c r="R304">
        <f>NORMDIST($A$304,0,'Range Analysis'!$F$8,FALSE())*(NORMDIST(('Range Analysis'!$F$6-$A$304)/('Range Analysis'!J25/2),0,1,TRUE())-NORMDIST((-'Range Analysis'!$F$6-$A$304)/('Range Analysis'!J25/2),0,1,TRUE()))</f>
        <v>1.0003382585565885</v>
      </c>
      <c r="S304">
        <f>NORMDIST($A$304,0,'Range Analysis'!$F$8,FALSE())*(NORMDIST(('Range Analysis'!$F$6-$A$304)/('Range Analysis'!J26/2),0,1,TRUE())-NORMDIST((-'Range Analysis'!$F$6-$A$304)/('Range Analysis'!J26/2),0,1,TRUE()))</f>
        <v>1.0003382585565885</v>
      </c>
      <c r="T304">
        <f>NORMDIST($A$304,0,'Range Analysis'!$F$8,FALSE())*(NORMDIST(('Range Analysis'!$F$6-$A$304)/('Range Analysis'!J27/2),0,1,TRUE())-NORMDIST((-'Range Analysis'!$F$6-$A$304)/('Range Analysis'!J27/2),0,1,TRUE()))</f>
        <v>1.0004198192567015</v>
      </c>
      <c r="U304">
        <f>NORMDIST($A$304,0,'Range Analysis'!$F$8,FALSE())*(NORMDIST(('Range Analysis'!$F$6-$A$304)/('Range Analysis'!J28/2),0,1,TRUE())-NORMDIST((-'Range Analysis'!$F$6-$A$304)/('Range Analysis'!J28/2),0,1,TRUE()))</f>
        <v>1.0004230191675876</v>
      </c>
      <c r="V304">
        <f>NORMDIST($A$304,0,'Range Analysis'!$F$8,FALSE())*(NORMDIST(('Range Analysis'!$F$6-$A$304)/('Range Analysis'!J29/2),0,1,TRUE())-NORMDIST((-'Range Analysis'!$F$6-$A$304)/('Range Analysis'!J29/2),0,1,TRUE()))</f>
        <v>0.81842919921120727</v>
      </c>
      <c r="W304">
        <f>NORMDIST($A$304,0,'Range Analysis'!$F$8,FALSE())*(NORMDIST((('Range Analysis'!$F$6-0)-$A$304)/('Range Analysis'!J30/2),0,1,TRUE())-NORMDIST((-('Range Analysis'!$F$6-0)-$A$304)/('Range Analysis'!J30/2),0,1,TRUE()))</f>
        <v>0.74655502112478767</v>
      </c>
    </row>
    <row r="305" spans="1:23" ht="15" customHeight="1" x14ac:dyDescent="0.25">
      <c r="A305">
        <f>-'Range Analysis'!$F$6+29*$B$275</f>
        <v>0.24358974358974361</v>
      </c>
      <c r="C305">
        <f>NORMDIST($A$305,0,'Range Analysis'!$F$8,FALSE())*(NORMDIST((('Range Analysis'!$F$6-0.98*'Range Analysis'!J24)-$A$305)/('Range Analysis'!J24/2),0,1,TRUE())-NORMDIST((-('Range Analysis'!$F$6-0.98*'Range Analysis'!J24)-$A$305)/('Range Analysis'!J24/2),0,1,TRUE()))</f>
        <v>0.376411500076137</v>
      </c>
      <c r="D305">
        <f>NORMDIST($A$305,0,'Range Analysis'!$F$8,FALSE())*(NORMDIST((('Range Analysis'!$F$6-0.98*'Range Analysis'!J25)-$A$305)/('Range Analysis'!J25/2),0,1,TRUE())-NORMDIST((-('Range Analysis'!$F$6-0.98*'Range Analysis'!J25)-$A$305)/('Range Analysis'!J25/2),0,1,TRUE()))</f>
        <v>0.87363793894281139</v>
      </c>
      <c r="E305">
        <f>NORMDIST($A$305,0,'Range Analysis'!$F$8,FALSE())*(NORMDIST((('Range Analysis'!$F$6-0.98*'Range Analysis'!J26)-$A$305)/('Range Analysis'!J26/2),0,1,TRUE())-NORMDIST((-('Range Analysis'!$F$6-0.98*'Range Analysis'!J26)-$A$305)/('Range Analysis'!J26/2),0,1,TRUE()))</f>
        <v>0.87363793894281139</v>
      </c>
      <c r="F305">
        <f>NORMDIST($A$305,0,'Range Analysis'!$F$8,FALSE())*(NORMDIST((('Range Analysis'!$F$6-0.98*'Range Analysis'!J27)-$A$305)/('Range Analysis'!J27/2),0,1,TRUE())-NORMDIST((-('Range Analysis'!$F$6-0.98*'Range Analysis'!J27)-$A$305)/('Range Analysis'!J27/2),0,1,TRUE()))</f>
        <v>0.92659689250263466</v>
      </c>
      <c r="G305">
        <f>NORMDIST($A$305,0,'Range Analysis'!$F$8,FALSE())*(NORMDIST((('Range Analysis'!$F$6-0.98*'Range Analysis'!J28)-$A$305)/('Range Analysis'!J28/2),0,1,TRUE())-NORMDIST((-('Range Analysis'!$F$6-0.98*'Range Analysis'!J28)-$A$305)/('Range Analysis'!J28/2),0,1,TRUE()))</f>
        <v>0.94173438574736279</v>
      </c>
      <c r="H305">
        <f>NORMDIST($A$305,0,'Range Analysis'!$F$8,FALSE())*(NORMDIST((('Range Analysis'!$F$6-0.98*'Range Analysis'!J29)-$A$305)/('Range Analysis'!J29/2),0,1,TRUE())-NORMDIST((-('Range Analysis'!$F$6-0.98*'Range Analysis'!J29)-$A$305)/('Range Analysis'!J29/2),0,1,TRUE()))</f>
        <v>-0.15773442013586031</v>
      </c>
      <c r="I305">
        <f>NORMDIST($A$305,0,'Range Analysis'!$F$8,FALSE())*(NORMDIST((('Range Analysis'!$F$6-0.98*'Range Analysis'!J30)-$A$305)/('Range Analysis'!J30/2),0,1,TRUE())-NORMDIST((-('Range Analysis'!$F$6-0.98*'Range Analysis'!J30)-$A$305)/('Range Analysis'!J30/2),0,1,TRUE()))</f>
        <v>-0.36720782092201149</v>
      </c>
      <c r="J305">
        <f>NORMDIST($A$305,0,'Range Analysis'!$F$8,FALSE())*(NORMDIST((('Range Analysis'!$F$6-IF('Range Analysis'!K24&lt;=0,0,'Range Analysis'!J24*MAX(0,1.04-EXP(0.38*LN('Range Analysis'!K24)-0.54))))-$A$305)/('Range Analysis'!J24/2),0,1,TRUE())-NORMDIST((-('Range Analysis'!$F$6-IF('Range Analysis'!K24&lt;=0,0,'Range Analysis'!J24*MAX(0,1.04-EXP(0.38*LN('Range Analysis'!K24)-0.54))))-$A$305)/('Range Analysis'!J24/2),0,1,TRUE()))</f>
        <v>0.80224879980069475</v>
      </c>
      <c r="K305">
        <f>NORMDIST($A$305,0,'Range Analysis'!$F$8,FALSE())*(NORMDIST((('Range Analysis'!$F$6-IF('Range Analysis'!K25&lt;=0,0,'Range Analysis'!J25*MAX(0,1.04-EXP(0.38*LN('Range Analysis'!K25)-0.54))))-$A$305)/('Range Analysis'!J25/2),0,1,TRUE())-NORMDIST((-('Range Analysis'!$F$6-IF('Range Analysis'!K25&lt;=0,0,'Range Analysis'!J25*MAX(0,1.04-EXP(0.38*LN('Range Analysis'!K25)-0.54))))-$A$305)/('Range Analysis'!J25/2),0,1,TRUE()))</f>
        <v>0.94104197785138888</v>
      </c>
      <c r="L305">
        <f>NORMDIST($A$305,0,'Range Analysis'!$F$8,FALSE())*(NORMDIST((('Range Analysis'!$F$6-IF('Range Analysis'!K26&lt;=0,0,'Range Analysis'!J26*MAX(0,1.04-EXP(0.38*LN('Range Analysis'!K26)-0.54))))-$A$305)/('Range Analysis'!J26/2),0,1,TRUE())-NORMDIST((-('Range Analysis'!$F$6-IF('Range Analysis'!K26&lt;=0,0,'Range Analysis'!J26*MAX(0,1.04-EXP(0.38*LN('Range Analysis'!K26)-0.54))))-$A$305)/('Range Analysis'!J26/2),0,1,TRUE()))</f>
        <v>0.94104197785138888</v>
      </c>
      <c r="M305">
        <f>NORMDIST($A$305,0,'Range Analysis'!$F$8,FALSE())*(NORMDIST((('Range Analysis'!$F$6-IF('Range Analysis'!K27&lt;=0,0,'Range Analysis'!J27*MAX(0,1.04-EXP(0.38*LN('Range Analysis'!K27)-0.54))))-$A$305)/('Range Analysis'!J27/2),0,1,TRUE())-NORMDIST((-('Range Analysis'!$F$6-IF('Range Analysis'!K27&lt;=0,0,'Range Analysis'!J27*MAX(0,1.04-EXP(0.38*LN('Range Analysis'!K27)-0.54))))-$A$305)/('Range Analysis'!J27/2),0,1,TRUE()))</f>
        <v>0.94170409281355938</v>
      </c>
      <c r="N305">
        <f>NORMDIST($A$305,0,'Range Analysis'!$F$8,FALSE())*(NORMDIST((('Range Analysis'!$F$6-IF('Range Analysis'!K28&lt;=0,0,'Range Analysis'!J28*MAX(0,1.04-EXP(0.38*LN('Range Analysis'!K28)-0.54))))-$A$305)/('Range Analysis'!J28/2),0,1,TRUE())-NORMDIST((-('Range Analysis'!$F$6-IF('Range Analysis'!K28&lt;=0,0,'Range Analysis'!J28*MAX(0,1.04-EXP(0.38*LN('Range Analysis'!K28)-0.54))))-$A$305)/('Range Analysis'!J28/2),0,1,TRUE()))</f>
        <v>0.94173438574736279</v>
      </c>
      <c r="O305">
        <f>NORMDIST($A$305,0,'Range Analysis'!$F$8,FALSE())*(NORMDIST((('Range Analysis'!$F$6-IF('Range Analysis'!K29&lt;=0,0,'Range Analysis'!J29*MAX(0,1.04-EXP(0.38*LN('Range Analysis'!K29)-0.54))))-$A$305)/('Range Analysis'!J29/2),0,1,TRUE())-NORMDIST((-('Range Analysis'!$F$6-IF('Range Analysis'!K29&lt;=0,0,'Range Analysis'!J29*MAX(0,1.04-EXP(0.38*LN('Range Analysis'!K29)-0.54))))-$A$305)/('Range Analysis'!J29/2),0,1,TRUE()))</f>
        <v>0.35462710747113091</v>
      </c>
      <c r="P305">
        <f>NORMDIST($A$305,0,'Range Analysis'!$F$8,FALSE())*(NORMDIST((('Range Analysis'!$F$6-IF('Range Analysis'!K30&lt;=0,0,'Range Analysis'!J30*MAX(0,1.04-EXP(0.38*LN('Range Analysis'!K30)-0.54))))-$A$305)/('Range Analysis'!J30/2),0,1,TRUE())-NORMDIST((-('Range Analysis'!$F$6-IF('Range Analysis'!K30&lt;=0,0,'Range Analysis'!J30*MAX(0,1.04-EXP(0.38*LN('Range Analysis'!K30)-0.54))))-$A$305)/('Range Analysis'!J30/2),0,1,TRUE()))</f>
        <v>0.15264294224503633</v>
      </c>
      <c r="Q305">
        <f>NORMDIST($A$305,0,'Range Analysis'!$F$8,FALSE())*(NORMDIST(('Range Analysis'!$F$6-$A$305)/('Range Analysis'!J24/2),0,1,TRUE())-NORMDIST((-'Range Analysis'!$F$6-$A$305)/('Range Analysis'!J24/2),0,1,TRUE()))</f>
        <v>0.90059129145663874</v>
      </c>
      <c r="R305">
        <f>NORMDIST($A$305,0,'Range Analysis'!$F$8,FALSE())*(NORMDIST(('Range Analysis'!$F$6-$A$305)/('Range Analysis'!J25/2),0,1,TRUE())-NORMDIST((-'Range Analysis'!$F$6-$A$305)/('Range Analysis'!J25/2),0,1,TRUE()))</f>
        <v>0.94143822370718455</v>
      </c>
      <c r="S305">
        <f>NORMDIST($A$305,0,'Range Analysis'!$F$8,FALSE())*(NORMDIST(('Range Analysis'!$F$6-$A$305)/('Range Analysis'!J26/2),0,1,TRUE())-NORMDIST((-'Range Analysis'!$F$6-$A$305)/('Range Analysis'!J26/2),0,1,TRUE()))</f>
        <v>0.94143822370718455</v>
      </c>
      <c r="T305">
        <f>NORMDIST($A$305,0,'Range Analysis'!$F$8,FALSE())*(NORMDIST(('Range Analysis'!$F$6-$A$305)/('Range Analysis'!J27/2),0,1,TRUE())-NORMDIST((-'Range Analysis'!$F$6-$A$305)/('Range Analysis'!J27/2),0,1,TRUE()))</f>
        <v>0.94171514627397668</v>
      </c>
      <c r="U305">
        <f>NORMDIST($A$305,0,'Range Analysis'!$F$8,FALSE())*(NORMDIST(('Range Analysis'!$F$6-$A$305)/('Range Analysis'!J28/2),0,1,TRUE())-NORMDIST((-'Range Analysis'!$F$6-$A$305)/('Range Analysis'!J28/2),0,1,TRUE()))</f>
        <v>0.94173438574736279</v>
      </c>
      <c r="V305">
        <f>NORMDIST($A$305,0,'Range Analysis'!$F$8,FALSE())*(NORMDIST(('Range Analysis'!$F$6-$A$305)/('Range Analysis'!J29/2),0,1,TRUE())-NORMDIST((-'Range Analysis'!$F$6-$A$305)/('Range Analysis'!J29/2),0,1,TRUE()))</f>
        <v>0.75060680728830875</v>
      </c>
      <c r="W305">
        <f>NORMDIST($A$305,0,'Range Analysis'!$F$8,FALSE())*(NORMDIST((('Range Analysis'!$F$6-0)-$A$305)/('Range Analysis'!J30/2),0,1,TRUE())-NORMDIST((-('Range Analysis'!$F$6-0)-$A$305)/('Range Analysis'!J30/2),0,1,TRUE()))</f>
        <v>0.68675780938997377</v>
      </c>
    </row>
    <row r="306" spans="1:23" ht="15" customHeight="1" x14ac:dyDescent="0.25">
      <c r="A306">
        <f>-'Range Analysis'!$F$6+30*$B$275</f>
        <v>0.26923076923076916</v>
      </c>
      <c r="C306">
        <f>NORMDIST($A$306,0,'Range Analysis'!$F$8,FALSE())*(NORMDIST((('Range Analysis'!$F$6-0.98*'Range Analysis'!J24)-$A$306)/('Range Analysis'!J24/2),0,1,TRUE())-NORMDIST((-('Range Analysis'!$F$6-0.98*'Range Analysis'!J24)-$A$306)/('Range Analysis'!J24/2),0,1,TRUE()))</f>
        <v>0.29579041678996698</v>
      </c>
      <c r="D306">
        <f>NORMDIST($A$306,0,'Range Analysis'!$F$8,FALSE())*(NORMDIST((('Range Analysis'!$F$6-0.98*'Range Analysis'!J25)-$A$306)/('Range Analysis'!J25/2),0,1,TRUE())-NORMDIST((-('Range Analysis'!$F$6-0.98*'Range Analysis'!J25)-$A$306)/('Range Analysis'!J25/2),0,1,TRUE()))</f>
        <v>0.76430877711057188</v>
      </c>
      <c r="E306">
        <f>NORMDIST($A$306,0,'Range Analysis'!$F$8,FALSE())*(NORMDIST((('Range Analysis'!$F$6-0.98*'Range Analysis'!J26)-$A$306)/('Range Analysis'!J26/2),0,1,TRUE())-NORMDIST((-('Range Analysis'!$F$6-0.98*'Range Analysis'!J26)-$A$306)/('Range Analysis'!J26/2),0,1,TRUE()))</f>
        <v>0.76430877711057188</v>
      </c>
      <c r="F306">
        <f>NORMDIST($A$306,0,'Range Analysis'!$F$8,FALSE())*(NORMDIST((('Range Analysis'!$F$6-0.98*'Range Analysis'!J27)-$A$306)/('Range Analysis'!J27/2),0,1,TRUE())-NORMDIST((-('Range Analysis'!$F$6-0.98*'Range Analysis'!J27)-$A$306)/('Range Analysis'!J27/2),0,1,TRUE()))</f>
        <v>0.84391455573476137</v>
      </c>
      <c r="G306">
        <f>NORMDIST($A$306,0,'Range Analysis'!$F$8,FALSE())*(NORMDIST((('Range Analysis'!$F$6-0.98*'Range Analysis'!J28)-$A$306)/('Range Analysis'!J28/2),0,1,TRUE())-NORMDIST((-('Range Analysis'!$F$6-0.98*'Range Analysis'!J28)-$A$306)/('Range Analysis'!J28/2),0,1,TRUE()))</f>
        <v>0.88055387093631621</v>
      </c>
      <c r="H306">
        <f>NORMDIST($A$306,0,'Range Analysis'!$F$8,FALSE())*(NORMDIST((('Range Analysis'!$F$6-0.98*'Range Analysis'!J29)-$A$306)/('Range Analysis'!J29/2),0,1,TRUE())-NORMDIST((-('Range Analysis'!$F$6-0.98*'Range Analysis'!J29)-$A$306)/('Range Analysis'!J29/2),0,1,TRUE()))</f>
        <v>-0.13738016856697122</v>
      </c>
      <c r="I306">
        <f>NORMDIST($A$306,0,'Range Analysis'!$F$8,FALSE())*(NORMDIST((('Range Analysis'!$F$6-0.98*'Range Analysis'!J30)-$A$306)/('Range Analysis'!J30/2),0,1,TRUE())-NORMDIST((-('Range Analysis'!$F$6-0.98*'Range Analysis'!J30)-$A$306)/('Range Analysis'!J30/2),0,1,TRUE()))</f>
        <v>-0.3295556545114669</v>
      </c>
      <c r="J306">
        <f>NORMDIST($A$306,0,'Range Analysis'!$F$8,FALSE())*(NORMDIST((('Range Analysis'!$F$6-IF('Range Analysis'!K24&lt;=0,0,'Range Analysis'!J24*MAX(0,1.04-EXP(0.38*LN('Range Analysis'!K24)-0.54))))-$A$306)/('Range Analysis'!J24/2),0,1,TRUE())-NORMDIST((-('Range Analysis'!$F$6-IF('Range Analysis'!K24&lt;=0,0,'Range Analysis'!J24*MAX(0,1.04-EXP(0.38*LN('Range Analysis'!K24)-0.54))))-$A$306)/('Range Analysis'!J24/2),0,1,TRUE()))</f>
        <v>0.71222792491603759</v>
      </c>
      <c r="K306">
        <f>NORMDIST($A$306,0,'Range Analysis'!$F$8,FALSE())*(NORMDIST((('Range Analysis'!$F$6-IF('Range Analysis'!K25&lt;=0,0,'Range Analysis'!J25*MAX(0,1.04-EXP(0.38*LN('Range Analysis'!K25)-0.54))))-$A$306)/('Range Analysis'!J25/2),0,1,TRUE())-NORMDIST((-('Range Analysis'!$F$6-IF('Range Analysis'!K25&lt;=0,0,'Range Analysis'!J25*MAX(0,1.04-EXP(0.38*LN('Range Analysis'!K25)-0.54))))-$A$306)/('Range Analysis'!J25/2),0,1,TRUE()))</f>
        <v>0.87855866505910918</v>
      </c>
      <c r="L306">
        <f>NORMDIST($A$306,0,'Range Analysis'!$F$8,FALSE())*(NORMDIST((('Range Analysis'!$F$6-IF('Range Analysis'!K26&lt;=0,0,'Range Analysis'!J26*MAX(0,1.04-EXP(0.38*LN('Range Analysis'!K26)-0.54))))-$A$306)/('Range Analysis'!J26/2),0,1,TRUE())-NORMDIST((-('Range Analysis'!$F$6-IF('Range Analysis'!K26&lt;=0,0,'Range Analysis'!J26*MAX(0,1.04-EXP(0.38*LN('Range Analysis'!K26)-0.54))))-$A$306)/('Range Analysis'!J26/2),0,1,TRUE()))</f>
        <v>0.87855866505910918</v>
      </c>
      <c r="M306">
        <f>NORMDIST($A$306,0,'Range Analysis'!$F$8,FALSE())*(NORMDIST((('Range Analysis'!$F$6-IF('Range Analysis'!K27&lt;=0,0,'Range Analysis'!J27*MAX(0,1.04-EXP(0.38*LN('Range Analysis'!K27)-0.54))))-$A$306)/('Range Analysis'!J27/2),0,1,TRUE())-NORMDIST((-('Range Analysis'!$F$6-IF('Range Analysis'!K27&lt;=0,0,'Range Analysis'!J27*MAX(0,1.04-EXP(0.38*LN('Range Analysis'!K27)-0.54))))-$A$306)/('Range Analysis'!J27/2),0,1,TRUE()))</f>
        <v>0.88040606768321117</v>
      </c>
      <c r="N306">
        <f>NORMDIST($A$306,0,'Range Analysis'!$F$8,FALSE())*(NORMDIST((('Range Analysis'!$F$6-IF('Range Analysis'!K28&lt;=0,0,'Range Analysis'!J28*MAX(0,1.04-EXP(0.38*LN('Range Analysis'!K28)-0.54))))-$A$306)/('Range Analysis'!J28/2),0,1,TRUE())-NORMDIST((-('Range Analysis'!$F$6-IF('Range Analysis'!K28&lt;=0,0,'Range Analysis'!J28*MAX(0,1.04-EXP(0.38*LN('Range Analysis'!K28)-0.54))))-$A$306)/('Range Analysis'!J28/2),0,1,TRUE()))</f>
        <v>0.88055387093631621</v>
      </c>
      <c r="O306">
        <f>NORMDIST($A$306,0,'Range Analysis'!$F$8,FALSE())*(NORMDIST((('Range Analysis'!$F$6-IF('Range Analysis'!K29&lt;=0,0,'Range Analysis'!J29*MAX(0,1.04-EXP(0.38*LN('Range Analysis'!K29)-0.54))))-$A$306)/('Range Analysis'!J29/2),0,1,TRUE())-NORMDIST((-('Range Analysis'!$F$6-IF('Range Analysis'!K29&lt;=0,0,'Range Analysis'!J29*MAX(0,1.04-EXP(0.38*LN('Range Analysis'!K29)-0.54))))-$A$306)/('Range Analysis'!J29/2),0,1,TRUE()))</f>
        <v>0.31139251020060199</v>
      </c>
      <c r="P306">
        <f>NORMDIST($A$306,0,'Range Analysis'!$F$8,FALSE())*(NORMDIST((('Range Analysis'!$F$6-IF('Range Analysis'!K30&lt;=0,0,'Range Analysis'!J30*MAX(0,1.04-EXP(0.38*LN('Range Analysis'!K30)-0.54))))-$A$306)/('Range Analysis'!J30/2),0,1,TRUE())-NORMDIST((-('Range Analysis'!$F$6-IF('Range Analysis'!K30&lt;=0,0,'Range Analysis'!J30*MAX(0,1.04-EXP(0.38*LN('Range Analysis'!K30)-0.54))))-$A$306)/('Range Analysis'!J30/2),0,1,TRUE()))</f>
        <v>0.13634098200594047</v>
      </c>
      <c r="Q306">
        <f>NORMDIST($A$306,0,'Range Analysis'!$F$8,FALSE())*(NORMDIST(('Range Analysis'!$F$6-$A$306)/('Range Analysis'!J24/2),0,1,TRUE())-NORMDIST((-'Range Analysis'!$F$6-$A$306)/('Range Analysis'!J24/2),0,1,TRUE()))</f>
        <v>0.82598766543118285</v>
      </c>
      <c r="R306">
        <f>NORMDIST($A$306,0,'Range Analysis'!$F$8,FALSE())*(NORMDIST(('Range Analysis'!$F$6-$A$306)/('Range Analysis'!J25/2),0,1,TRUE())-NORMDIST((-'Range Analysis'!$F$6-$A$306)/('Range Analysis'!J25/2),0,1,TRUE()))</f>
        <v>0.87963303495720702</v>
      </c>
      <c r="S306">
        <f>NORMDIST($A$306,0,'Range Analysis'!$F$8,FALSE())*(NORMDIST(('Range Analysis'!$F$6-$A$306)/('Range Analysis'!J26/2),0,1,TRUE())-NORMDIST((-'Range Analysis'!$F$6-$A$306)/('Range Analysis'!J26/2),0,1,TRUE()))</f>
        <v>0.87963303495720702</v>
      </c>
      <c r="T306">
        <f>NORMDIST($A$306,0,'Range Analysis'!$F$8,FALSE())*(NORMDIST(('Range Analysis'!$F$6-$A$306)/('Range Analysis'!J27/2),0,1,TRUE())-NORMDIST((-'Range Analysis'!$F$6-$A$306)/('Range Analysis'!J27/2),0,1,TRUE()))</f>
        <v>0.88045602891057839</v>
      </c>
      <c r="U306">
        <f>NORMDIST($A$306,0,'Range Analysis'!$F$8,FALSE())*(NORMDIST(('Range Analysis'!$F$6-$A$306)/('Range Analysis'!J28/2),0,1,TRUE())-NORMDIST((-'Range Analysis'!$F$6-$A$306)/('Range Analysis'!J28/2),0,1,TRUE()))</f>
        <v>0.88055387093631621</v>
      </c>
      <c r="V306">
        <f>NORMDIST($A$306,0,'Range Analysis'!$F$8,FALSE())*(NORMDIST(('Range Analysis'!$F$6-$A$306)/('Range Analysis'!J29/2),0,1,TRUE())-NORMDIST((-'Range Analysis'!$F$6-$A$306)/('Range Analysis'!J29/2),0,1,TRUE()))</f>
        <v>0.68150439340189661</v>
      </c>
      <c r="W306">
        <f>NORMDIST($A$306,0,'Range Analysis'!$F$8,FALSE())*(NORMDIST((('Range Analysis'!$F$6-0)-$A$306)/('Range Analysis'!J30/2),0,1,TRUE())-NORMDIST((-('Range Analysis'!$F$6-0)-$A$306)/('Range Analysis'!J30/2),0,1,TRUE()))</f>
        <v>0.62583594861576763</v>
      </c>
    </row>
    <row r="307" spans="1:23" ht="15" customHeight="1" x14ac:dyDescent="0.25">
      <c r="A307">
        <f>-'Range Analysis'!$F$6+31*$B$275</f>
        <v>0.29487179487179482</v>
      </c>
      <c r="C307">
        <f>NORMDIST($A$307,0,'Range Analysis'!$F$8,FALSE())*(NORMDIST((('Range Analysis'!$F$6-0.98*'Range Analysis'!J24)-$A$307)/('Range Analysis'!J24/2),0,1,TRUE())-NORMDIST((-('Range Analysis'!$F$6-0.98*'Range Analysis'!J24)-$A$307)/('Range Analysis'!J24/2),0,1,TRUE()))</f>
        <v>0.22600476984338067</v>
      </c>
      <c r="D307">
        <f>NORMDIST($A$307,0,'Range Analysis'!$F$8,FALSE())*(NORMDIST((('Range Analysis'!$F$6-0.98*'Range Analysis'!J25)-$A$307)/('Range Analysis'!J25/2),0,1,TRUE())-NORMDIST((-('Range Analysis'!$F$6-0.98*'Range Analysis'!J25)-$A$307)/('Range Analysis'!J25/2),0,1,TRUE()))</f>
        <v>0.63860128951845507</v>
      </c>
      <c r="E307">
        <f>NORMDIST($A$307,0,'Range Analysis'!$F$8,FALSE())*(NORMDIST((('Range Analysis'!$F$6-0.98*'Range Analysis'!J26)-$A$307)/('Range Analysis'!J26/2),0,1,TRUE())-NORMDIST((-('Range Analysis'!$F$6-0.98*'Range Analysis'!J26)-$A$307)/('Range Analysis'!J26/2),0,1,TRUE()))</f>
        <v>0.63860128951845507</v>
      </c>
      <c r="F307">
        <f>NORMDIST($A$307,0,'Range Analysis'!$F$8,FALSE())*(NORMDIST((('Range Analysis'!$F$6-0.98*'Range Analysis'!J27)-$A$307)/('Range Analysis'!J27/2),0,1,TRUE())-NORMDIST((-('Range Analysis'!$F$6-0.98*'Range Analysis'!J27)-$A$307)/('Range Analysis'!J27/2),0,1,TRUE()))</f>
        <v>0.74171540564547878</v>
      </c>
      <c r="G307">
        <f>NORMDIST($A$307,0,'Range Analysis'!$F$8,FALSE())*(NORMDIST((('Range Analysis'!$F$6-0.98*'Range Analysis'!J28)-$A$307)/('Range Analysis'!J28/2),0,1,TRUE())-NORMDIST((-('Range Analysis'!$F$6-0.98*'Range Analysis'!J28)-$A$307)/('Range Analysis'!J28/2),0,1,TRUE()))</f>
        <v>0.81783592380963954</v>
      </c>
      <c r="H307">
        <f>NORMDIST($A$307,0,'Range Analysis'!$F$8,FALSE())*(NORMDIST((('Range Analysis'!$F$6-0.98*'Range Analysis'!J29)-$A$307)/('Range Analysis'!J29/2),0,1,TRUE())-NORMDIST((-('Range Analysis'!$F$6-0.98*'Range Analysis'!J29)-$A$307)/('Range Analysis'!J29/2),0,1,TRUE()))</f>
        <v>-0.11801046784264775</v>
      </c>
      <c r="I307">
        <f>NORMDIST($A$307,0,'Range Analysis'!$F$8,FALSE())*(NORMDIST((('Range Analysis'!$F$6-0.98*'Range Analysis'!J30)-$A$307)/('Range Analysis'!J30/2),0,1,TRUE())-NORMDIST((-('Range Analysis'!$F$6-0.98*'Range Analysis'!J30)-$A$307)/('Range Analysis'!J30/2),0,1,TRUE()))</f>
        <v>-0.29257759422771118</v>
      </c>
      <c r="J307">
        <f>NORMDIST($A$307,0,'Range Analysis'!$F$8,FALSE())*(NORMDIST((('Range Analysis'!$F$6-IF('Range Analysis'!K24&lt;=0,0,'Range Analysis'!J24*MAX(0,1.04-EXP(0.38*LN('Range Analysis'!K24)-0.54))))-$A$307)/('Range Analysis'!J24/2),0,1,TRUE())-NORMDIST((-('Range Analysis'!$F$6-IF('Range Analysis'!K24&lt;=0,0,'Range Analysis'!J24*MAX(0,1.04-EXP(0.38*LN('Range Analysis'!K24)-0.54))))-$A$307)/('Range Analysis'!J24/2),0,1,TRUE()))</f>
        <v>0.62063860470887855</v>
      </c>
      <c r="K307">
        <f>NORMDIST($A$307,0,'Range Analysis'!$F$8,FALSE())*(NORMDIST((('Range Analysis'!$F$6-IF('Range Analysis'!K25&lt;=0,0,'Range Analysis'!J25*MAX(0,1.04-EXP(0.38*LN('Range Analysis'!K25)-0.54))))-$A$307)/('Range Analysis'!J25/2),0,1,TRUE())-NORMDIST((-('Range Analysis'!$F$6-IF('Range Analysis'!K25&lt;=0,0,'Range Analysis'!J25*MAX(0,1.04-EXP(0.38*LN('Range Analysis'!K25)-0.54))))-$A$307)/('Range Analysis'!J25/2),0,1,TRUE()))</f>
        <v>0.81270969466047382</v>
      </c>
      <c r="L307">
        <f>NORMDIST($A$307,0,'Range Analysis'!$F$8,FALSE())*(NORMDIST((('Range Analysis'!$F$6-IF('Range Analysis'!K26&lt;=0,0,'Range Analysis'!J26*MAX(0,1.04-EXP(0.38*LN('Range Analysis'!K26)-0.54))))-$A$307)/('Range Analysis'!J26/2),0,1,TRUE())-NORMDIST((-('Range Analysis'!$F$6-IF('Range Analysis'!K26&lt;=0,0,'Range Analysis'!J26*MAX(0,1.04-EXP(0.38*LN('Range Analysis'!K26)-0.54))))-$A$307)/('Range Analysis'!J26/2),0,1,TRUE()))</f>
        <v>0.81270969466047382</v>
      </c>
      <c r="M307">
        <f>NORMDIST($A$307,0,'Range Analysis'!$F$8,FALSE())*(NORMDIST((('Range Analysis'!$F$6-IF('Range Analysis'!K27&lt;=0,0,'Range Analysis'!J27*MAX(0,1.04-EXP(0.38*LN('Range Analysis'!K27)-0.54))))-$A$307)/('Range Analysis'!J27/2),0,1,TRUE())-NORMDIST((-('Range Analysis'!$F$6-IF('Range Analysis'!K27&lt;=0,0,'Range Analysis'!J27*MAX(0,1.04-EXP(0.38*LN('Range Analysis'!K27)-0.54))))-$A$307)/('Range Analysis'!J27/2),0,1,TRUE()))</f>
        <v>0.81722492081315934</v>
      </c>
      <c r="N307">
        <f>NORMDIST($A$307,0,'Range Analysis'!$F$8,FALSE())*(NORMDIST((('Range Analysis'!$F$6-IF('Range Analysis'!K28&lt;=0,0,'Range Analysis'!J28*MAX(0,1.04-EXP(0.38*LN('Range Analysis'!K28)-0.54))))-$A$307)/('Range Analysis'!J28/2),0,1,TRUE())-NORMDIST((-('Range Analysis'!$F$6-IF('Range Analysis'!K28&lt;=0,0,'Range Analysis'!J28*MAX(0,1.04-EXP(0.38*LN('Range Analysis'!K28)-0.54))))-$A$307)/('Range Analysis'!J28/2),0,1,TRUE()))</f>
        <v>0.81783592380963954</v>
      </c>
      <c r="O307">
        <f>NORMDIST($A$307,0,'Range Analysis'!$F$8,FALSE())*(NORMDIST((('Range Analysis'!$F$6-IF('Range Analysis'!K29&lt;=0,0,'Range Analysis'!J29*MAX(0,1.04-EXP(0.38*LN('Range Analysis'!K29)-0.54))))-$A$307)/('Range Analysis'!J29/2),0,1,TRUE())-NORMDIST((-('Range Analysis'!$F$6-IF('Range Analysis'!K29&lt;=0,0,'Range Analysis'!J29*MAX(0,1.04-EXP(0.38*LN('Range Analysis'!K29)-0.54))))-$A$307)/('Range Analysis'!J29/2),0,1,TRUE()))</f>
        <v>0.26988494426960369</v>
      </c>
      <c r="P307">
        <f>NORMDIST($A$307,0,'Range Analysis'!$F$8,FALSE())*(NORMDIST((('Range Analysis'!$F$6-IF('Range Analysis'!K30&lt;=0,0,'Range Analysis'!J30*MAX(0,1.04-EXP(0.38*LN('Range Analysis'!K30)-0.54))))-$A$307)/('Range Analysis'!J30/2),0,1,TRUE())-NORMDIST((-('Range Analysis'!$F$6-IF('Range Analysis'!K30&lt;=0,0,'Range Analysis'!J30*MAX(0,1.04-EXP(0.38*LN('Range Analysis'!K30)-0.54))))-$A$307)/('Range Analysis'!J30/2),0,1,TRUE()))</f>
        <v>0.12041230885355028</v>
      </c>
      <c r="Q307">
        <f>NORMDIST($A$307,0,'Range Analysis'!$F$8,FALSE())*(NORMDIST(('Range Analysis'!$F$6-$A$307)/('Range Analysis'!J24/2),0,1,TRUE())-NORMDIST((-'Range Analysis'!$F$6-$A$307)/('Range Analysis'!J24/2),0,1,TRUE()))</f>
        <v>0.74772200737381767</v>
      </c>
      <c r="R307">
        <f>NORMDIST($A$307,0,'Range Analysis'!$F$8,FALSE())*(NORMDIST(('Range Analysis'!$F$6-$A$307)/('Range Analysis'!J25/2),0,1,TRUE())-NORMDIST((-'Range Analysis'!$F$6-$A$307)/('Range Analysis'!J25/2),0,1,TRUE()))</f>
        <v>0.8152854134246853</v>
      </c>
      <c r="S307">
        <f>NORMDIST($A$307,0,'Range Analysis'!$F$8,FALSE())*(NORMDIST(('Range Analysis'!$F$6-$A$307)/('Range Analysis'!J26/2),0,1,TRUE())-NORMDIST((-'Range Analysis'!$F$6-$A$307)/('Range Analysis'!J26/2),0,1,TRUE()))</f>
        <v>0.8152854134246853</v>
      </c>
      <c r="T307">
        <f>NORMDIST($A$307,0,'Range Analysis'!$F$8,FALSE())*(NORMDIST(('Range Analysis'!$F$6-$A$307)/('Range Analysis'!J27/2),0,1,TRUE())-NORMDIST((-'Range Analysis'!$F$6-$A$307)/('Range Analysis'!J27/2),0,1,TRUE()))</f>
        <v>0.81741451397193432</v>
      </c>
      <c r="U307">
        <f>NORMDIST($A$307,0,'Range Analysis'!$F$8,FALSE())*(NORMDIST(('Range Analysis'!$F$6-$A$307)/('Range Analysis'!J28/2),0,1,TRUE())-NORMDIST((-'Range Analysis'!$F$6-$A$307)/('Range Analysis'!J28/2),0,1,TRUE()))</f>
        <v>0.81783592380963954</v>
      </c>
      <c r="V307">
        <f>NORMDIST($A$307,0,'Range Analysis'!$F$8,FALSE())*(NORMDIST(('Range Analysis'!$F$6-$A$307)/('Range Analysis'!J29/2),0,1,TRUE())-NORMDIST((-'Range Analysis'!$F$6-$A$307)/('Range Analysis'!J29/2),0,1,TRUE()))</f>
        <v>0.61248318671194268</v>
      </c>
      <c r="W307">
        <f>NORMDIST($A$307,0,'Range Analysis'!$F$8,FALSE())*(NORMDIST((('Range Analysis'!$F$6-0)-$A$307)/('Range Analysis'!J30/2),0,1,TRUE())-NORMDIST((-('Range Analysis'!$F$6-0)-$A$307)/('Range Analysis'!J30/2),0,1,TRUE()))</f>
        <v>0.5649578880898547</v>
      </c>
    </row>
    <row r="308" spans="1:23" ht="15" customHeight="1" x14ac:dyDescent="0.25">
      <c r="A308">
        <f>-'Range Analysis'!$F$6+32*$B$275</f>
        <v>0.32051282051282048</v>
      </c>
      <c r="C308">
        <f>NORMDIST($A$308,0,'Range Analysis'!$F$8,FALSE())*(NORMDIST((('Range Analysis'!$F$6-0.98*'Range Analysis'!J24)-$A$308)/('Range Analysis'!J24/2),0,1,TRUE())-NORMDIST((-('Range Analysis'!$F$6-0.98*'Range Analysis'!J24)-$A$308)/('Range Analysis'!J24/2),0,1,TRUE()))</f>
        <v>0.16778784045935241</v>
      </c>
      <c r="D308">
        <f>NORMDIST($A$308,0,'Range Analysis'!$F$8,FALSE())*(NORMDIST((('Range Analysis'!$F$6-0.98*'Range Analysis'!J25)-$A$308)/('Range Analysis'!J25/2),0,1,TRUE())-NORMDIST((-('Range Analysis'!$F$6-0.98*'Range Analysis'!J25)-$A$308)/('Range Analysis'!J25/2),0,1,TRUE()))</f>
        <v>0.50366761581546238</v>
      </c>
      <c r="E308">
        <f>NORMDIST($A$308,0,'Range Analysis'!$F$8,FALSE())*(NORMDIST((('Range Analysis'!$F$6-0.98*'Range Analysis'!J26)-$A$308)/('Range Analysis'!J26/2),0,1,TRUE())-NORMDIST((-('Range Analysis'!$F$6-0.98*'Range Analysis'!J26)-$A$308)/('Range Analysis'!J26/2),0,1,TRUE()))</f>
        <v>0.50366761581546238</v>
      </c>
      <c r="F308">
        <f>NORMDIST($A$308,0,'Range Analysis'!$F$8,FALSE())*(NORMDIST((('Range Analysis'!$F$6-0.98*'Range Analysis'!J27)-$A$308)/('Range Analysis'!J27/2),0,1,TRUE())-NORMDIST((-('Range Analysis'!$F$6-0.98*'Range Analysis'!J27)-$A$308)/('Range Analysis'!J27/2),0,1,TRUE()))</f>
        <v>0.61798192841715183</v>
      </c>
      <c r="G308">
        <f>NORMDIST($A$308,0,'Range Analysis'!$F$8,FALSE())*(NORMDIST((('Range Analysis'!$F$6-0.98*'Range Analysis'!J28)-$A$308)/('Range Analysis'!J28/2),0,1,TRUE())-NORMDIST((-('Range Analysis'!$F$6-0.98*'Range Analysis'!J28)-$A$308)/('Range Analysis'!J28/2),0,1,TRUE()))</f>
        <v>0.75449989919297888</v>
      </c>
      <c r="H308">
        <f>NORMDIST($A$308,0,'Range Analysis'!$F$8,FALSE())*(NORMDIST((('Range Analysis'!$F$6-0.98*'Range Analysis'!J29)-$A$308)/('Range Analysis'!J29/2),0,1,TRUE())-NORMDIST((-('Range Analysis'!$F$6-0.98*'Range Analysis'!J29)-$A$308)/('Range Analysis'!J29/2),0,1,TRUE()))</f>
        <v>-9.9980590461662328E-2</v>
      </c>
      <c r="I308">
        <f>NORMDIST($A$308,0,'Range Analysis'!$F$8,FALSE())*(NORMDIST((('Range Analysis'!$F$6-0.98*'Range Analysis'!J30)-$A$308)/('Range Analysis'!J30/2),0,1,TRUE())-NORMDIST((-('Range Analysis'!$F$6-0.98*'Range Analysis'!J30)-$A$308)/('Range Analysis'!J30/2),0,1,TRUE()))</f>
        <v>-0.25694908959254342</v>
      </c>
      <c r="J308">
        <f>NORMDIST($A$308,0,'Range Analysis'!$F$8,FALSE())*(NORMDIST((('Range Analysis'!$F$6-IF('Range Analysis'!K24&lt;=0,0,'Range Analysis'!J24*MAX(0,1.04-EXP(0.38*LN('Range Analysis'!K24)-0.54))))-$A$308)/('Range Analysis'!J24/2),0,1,TRUE())-NORMDIST((-('Range Analysis'!$F$6-IF('Range Analysis'!K24&lt;=0,0,'Range Analysis'!J24*MAX(0,1.04-EXP(0.38*LN('Range Analysis'!K24)-0.54))))-$A$308)/('Range Analysis'!J24/2),0,1,TRUE()))</f>
        <v>0.53007811315177511</v>
      </c>
      <c r="K308">
        <f>NORMDIST($A$308,0,'Range Analysis'!$F$8,FALSE())*(NORMDIST((('Range Analysis'!$F$6-IF('Range Analysis'!K25&lt;=0,0,'Range Analysis'!J25*MAX(0,1.04-EXP(0.38*LN('Range Analysis'!K25)-0.54))))-$A$308)/('Range Analysis'!J25/2),0,1,TRUE())-NORMDIST((-('Range Analysis'!$F$6-IF('Range Analysis'!K25&lt;=0,0,'Range Analysis'!J25*MAX(0,1.04-EXP(0.38*LN('Range Analysis'!K25)-0.54))))-$A$308)/('Range Analysis'!J25/2),0,1,TRUE()))</f>
        <v>0.74273828397064889</v>
      </c>
      <c r="L308">
        <f>NORMDIST($A$308,0,'Range Analysis'!$F$8,FALSE())*(NORMDIST((('Range Analysis'!$F$6-IF('Range Analysis'!K26&lt;=0,0,'Range Analysis'!J26*MAX(0,1.04-EXP(0.38*LN('Range Analysis'!K26)-0.54))))-$A$308)/('Range Analysis'!J26/2),0,1,TRUE())-NORMDIST((-('Range Analysis'!$F$6-IF('Range Analysis'!K26&lt;=0,0,'Range Analysis'!J26*MAX(0,1.04-EXP(0.38*LN('Range Analysis'!K26)-0.54))))-$A$308)/('Range Analysis'!J26/2),0,1,TRUE()))</f>
        <v>0.74273828397064889</v>
      </c>
      <c r="M308">
        <f>NORMDIST($A$308,0,'Range Analysis'!$F$8,FALSE())*(NORMDIST((('Range Analysis'!$F$6-IF('Range Analysis'!K27&lt;=0,0,'Range Analysis'!J27*MAX(0,1.04-EXP(0.38*LN('Range Analysis'!K27)-0.54))))-$A$308)/('Range Analysis'!J27/2),0,1,TRUE())-NORMDIST((-('Range Analysis'!$F$6-IF('Range Analysis'!K27&lt;=0,0,'Range Analysis'!J27*MAX(0,1.04-EXP(0.38*LN('Range Analysis'!K27)-0.54))))-$A$308)/('Range Analysis'!J27/2),0,1,TRUE()))</f>
        <v>0.75235611991388618</v>
      </c>
      <c r="N308">
        <f>NORMDIST($A$308,0,'Range Analysis'!$F$8,FALSE())*(NORMDIST((('Range Analysis'!$F$6-IF('Range Analysis'!K28&lt;=0,0,'Range Analysis'!J28*MAX(0,1.04-EXP(0.38*LN('Range Analysis'!K28)-0.54))))-$A$308)/('Range Analysis'!J28/2),0,1,TRUE())-NORMDIST((-('Range Analysis'!$F$6-IF('Range Analysis'!K28&lt;=0,0,'Range Analysis'!J28*MAX(0,1.04-EXP(0.38*LN('Range Analysis'!K28)-0.54))))-$A$308)/('Range Analysis'!J28/2),0,1,TRUE()))</f>
        <v>0.75449989919297888</v>
      </c>
      <c r="O308">
        <f>NORMDIST($A$308,0,'Range Analysis'!$F$8,FALSE())*(NORMDIST((('Range Analysis'!$F$6-IF('Range Analysis'!K29&lt;=0,0,'Range Analysis'!J29*MAX(0,1.04-EXP(0.38*LN('Range Analysis'!K29)-0.54))))-$A$308)/('Range Analysis'!J29/2),0,1,TRUE())-NORMDIST((-('Range Analysis'!$F$6-IF('Range Analysis'!K29&lt;=0,0,'Range Analysis'!J29*MAX(0,1.04-EXP(0.38*LN('Range Analysis'!K29)-0.54))))-$A$308)/('Range Analysis'!J29/2),0,1,TRUE()))</f>
        <v>0.23087566617608576</v>
      </c>
      <c r="P308">
        <f>NORMDIST($A$308,0,'Range Analysis'!$F$8,FALSE())*(NORMDIST((('Range Analysis'!$F$6-IF('Range Analysis'!K30&lt;=0,0,'Range Analysis'!J30*MAX(0,1.04-EXP(0.38*LN('Range Analysis'!K30)-0.54))))-$A$308)/('Range Analysis'!J30/2),0,1,TRUE())-NORMDIST((-('Range Analysis'!$F$6-IF('Range Analysis'!K30&lt;=0,0,'Range Analysis'!J30*MAX(0,1.04-EXP(0.38*LN('Range Analysis'!K30)-0.54))))-$A$308)/('Range Analysis'!J30/2),0,1,TRUE()))</f>
        <v>0.10515019262191028</v>
      </c>
      <c r="Q308">
        <f>NORMDIST($A$308,0,'Range Analysis'!$F$8,FALSE())*(NORMDIST(('Range Analysis'!$F$6-$A$308)/('Range Analysis'!J24/2),0,1,TRUE())-NORMDIST((-'Range Analysis'!$F$6-$A$308)/('Range Analysis'!J24/2),0,1,TRUE()))</f>
        <v>0.66717789935306626</v>
      </c>
      <c r="R308">
        <f>NORMDIST($A$308,0,'Range Analysis'!$F$8,FALSE())*(NORMDIST(('Range Analysis'!$F$6-$A$308)/('Range Analysis'!J25/2),0,1,TRUE())-NORMDIST((-'Range Analysis'!$F$6-$A$308)/('Range Analysis'!J25/2),0,1,TRUE()))</f>
        <v>0.74819837411535417</v>
      </c>
      <c r="S308">
        <f>NORMDIST($A$308,0,'Range Analysis'!$F$8,FALSE())*(NORMDIST(('Range Analysis'!$F$6-$A$308)/('Range Analysis'!J26/2),0,1,TRUE())-NORMDIST((-'Range Analysis'!$F$6-$A$308)/('Range Analysis'!J26/2),0,1,TRUE()))</f>
        <v>0.74819837411535417</v>
      </c>
      <c r="T308">
        <f>NORMDIST($A$308,0,'Range Analysis'!$F$8,FALSE())*(NORMDIST(('Range Analysis'!$F$6-$A$308)/('Range Analysis'!J27/2),0,1,TRUE())-NORMDIST((-'Range Analysis'!$F$6-$A$308)/('Range Analysis'!J27/2),0,1,TRUE()))</f>
        <v>0.75296016180526315</v>
      </c>
      <c r="U308">
        <f>NORMDIST($A$308,0,'Range Analysis'!$F$8,FALSE())*(NORMDIST(('Range Analysis'!$F$6-$A$308)/('Range Analysis'!J28/2),0,1,TRUE())-NORMDIST((-'Range Analysis'!$F$6-$A$308)/('Range Analysis'!J28/2),0,1,TRUE()))</f>
        <v>0.75449989919297888</v>
      </c>
      <c r="V308">
        <f>NORMDIST($A$308,0,'Range Analysis'!$F$8,FALSE())*(NORMDIST(('Range Analysis'!$F$6-$A$308)/('Range Analysis'!J29/2),0,1,TRUE())-NORMDIST((-'Range Analysis'!$F$6-$A$308)/('Range Analysis'!J29/2),0,1,TRUE()))</f>
        <v>0.54479296490079432</v>
      </c>
      <c r="W308">
        <f>NORMDIST($A$308,0,'Range Analysis'!$F$8,FALSE())*(NORMDIST((('Range Analysis'!$F$6-0)-$A$308)/('Range Analysis'!J30/2),0,1,TRUE())-NORMDIST((-('Range Analysis'!$F$6-0)-$A$308)/('Range Analysis'!J30/2),0,1,TRUE()))</f>
        <v>0.50518777349683919</v>
      </c>
    </row>
    <row r="309" spans="1:23" ht="15" customHeight="1" x14ac:dyDescent="0.25">
      <c r="A309">
        <f>-'Range Analysis'!$F$6+33*$B$275</f>
        <v>0.34615384615384615</v>
      </c>
      <c r="C309">
        <f>NORMDIST($A$309,0,'Range Analysis'!$F$8,FALSE())*(NORMDIST((('Range Analysis'!$F$6-0.98*'Range Analysis'!J24)-$A$309)/('Range Analysis'!J24/2),0,1,TRUE())-NORMDIST((-('Range Analysis'!$F$6-0.98*'Range Analysis'!J24)-$A$309)/('Range Analysis'!J24/2),0,1,TRUE()))</f>
        <v>0.12095729715132206</v>
      </c>
      <c r="D309">
        <f>NORMDIST($A$309,0,'Range Analysis'!$F$8,FALSE())*(NORMDIST((('Range Analysis'!$F$6-0.98*'Range Analysis'!J25)-$A$309)/('Range Analysis'!J25/2),0,1,TRUE())-NORMDIST((-('Range Analysis'!$F$6-0.98*'Range Analysis'!J25)-$A$309)/('Range Analysis'!J25/2),0,1,TRUE()))</f>
        <v>0.37084803776693642</v>
      </c>
      <c r="E309">
        <f>NORMDIST($A$309,0,'Range Analysis'!$F$8,FALSE())*(NORMDIST((('Range Analysis'!$F$6-0.98*'Range Analysis'!J26)-$A$309)/('Range Analysis'!J26/2),0,1,TRUE())-NORMDIST((-('Range Analysis'!$F$6-0.98*'Range Analysis'!J26)-$A$309)/('Range Analysis'!J26/2),0,1,TRUE()))</f>
        <v>0.37084803776693642</v>
      </c>
      <c r="F309">
        <f>NORMDIST($A$309,0,'Range Analysis'!$F$8,FALSE())*(NORMDIST((('Range Analysis'!$F$6-0.98*'Range Analysis'!J27)-$A$309)/('Range Analysis'!J27/2),0,1,TRUE())-NORMDIST((-('Range Analysis'!$F$6-0.98*'Range Analysis'!J27)-$A$309)/('Range Analysis'!J27/2),0,1,TRUE()))</f>
        <v>0.47845762050763829</v>
      </c>
      <c r="G309">
        <f>NORMDIST($A$309,0,'Range Analysis'!$F$8,FALSE())*(NORMDIST((('Range Analysis'!$F$6-0.98*'Range Analysis'!J28)-$A$309)/('Range Analysis'!J28/2),0,1,TRUE())-NORMDIST((-('Range Analysis'!$F$6-0.98*'Range Analysis'!J28)-$A$309)/('Range Analysis'!J28/2),0,1,TRUE()))</f>
        <v>0.69140885796740692</v>
      </c>
      <c r="H309">
        <f>NORMDIST($A$309,0,'Range Analysis'!$F$8,FALSE())*(NORMDIST((('Range Analysis'!$F$6-0.98*'Range Analysis'!J29)-$A$309)/('Range Analysis'!J29/2),0,1,TRUE())-NORMDIST((-('Range Analysis'!$F$6-0.98*'Range Analysis'!J29)-$A$309)/('Range Analysis'!J29/2),0,1,TRUE()))</f>
        <v>-8.3542849109757011E-2</v>
      </c>
      <c r="I309">
        <f>NORMDIST($A$309,0,'Range Analysis'!$F$8,FALSE())*(NORMDIST((('Range Analysis'!$F$6-0.98*'Range Analysis'!J30)-$A$309)/('Range Analysis'!J30/2),0,1,TRUE())-NORMDIST((-('Range Analysis'!$F$6-0.98*'Range Analysis'!J30)-$A$309)/('Range Analysis'!J30/2),0,1,TRUE()))</f>
        <v>-0.22322609364916096</v>
      </c>
      <c r="J309">
        <f>NORMDIST($A$309,0,'Range Analysis'!$F$8,FALSE())*(NORMDIST((('Range Analysis'!$F$6-IF('Range Analysis'!K24&lt;=0,0,'Range Analysis'!J24*MAX(0,1.04-EXP(0.38*LN('Range Analysis'!K24)-0.54))))-$A$309)/('Range Analysis'!J24/2),0,1,TRUE())-NORMDIST((-('Range Analysis'!$F$6-IF('Range Analysis'!K24&lt;=0,0,'Range Analysis'!J24*MAX(0,1.04-EXP(0.38*LN('Range Analysis'!K24)-0.54))))-$A$309)/('Range Analysis'!J24/2),0,1,TRUE()))</f>
        <v>0.44311375140070508</v>
      </c>
      <c r="K309">
        <f>NORMDIST($A$309,0,'Range Analysis'!$F$8,FALSE())*(NORMDIST((('Range Analysis'!$F$6-IF('Range Analysis'!K25&lt;=0,0,'Range Analysis'!J25*MAX(0,1.04-EXP(0.38*LN('Range Analysis'!K25)-0.54))))-$A$309)/('Range Analysis'!J25/2),0,1,TRUE())-NORMDIST((-('Range Analysis'!$F$6-IF('Range Analysis'!K25&lt;=0,0,'Range Analysis'!J25*MAX(0,1.04-EXP(0.38*LN('Range Analysis'!K25)-0.54))))-$A$309)/('Range Analysis'!J25/2),0,1,TRUE()))</f>
        <v>0.66726356761060479</v>
      </c>
      <c r="L309">
        <f>NORMDIST($A$309,0,'Range Analysis'!$F$8,FALSE())*(NORMDIST((('Range Analysis'!$F$6-IF('Range Analysis'!K26&lt;=0,0,'Range Analysis'!J26*MAX(0,1.04-EXP(0.38*LN('Range Analysis'!K26)-0.54))))-$A$309)/('Range Analysis'!J26/2),0,1,TRUE())-NORMDIST((-('Range Analysis'!$F$6-IF('Range Analysis'!K26&lt;=0,0,'Range Analysis'!J26*MAX(0,1.04-EXP(0.38*LN('Range Analysis'!K26)-0.54))))-$A$309)/('Range Analysis'!J26/2),0,1,TRUE()))</f>
        <v>0.66726356761060479</v>
      </c>
      <c r="M309">
        <f>NORMDIST($A$309,0,'Range Analysis'!$F$8,FALSE())*(NORMDIST((('Range Analysis'!$F$6-IF('Range Analysis'!K27&lt;=0,0,'Range Analysis'!J27*MAX(0,1.04-EXP(0.38*LN('Range Analysis'!K27)-0.54))))-$A$309)/('Range Analysis'!J27/2),0,1,TRUE())-NORMDIST((-('Range Analysis'!$F$6-IF('Range Analysis'!K27&lt;=0,0,'Range Analysis'!J27*MAX(0,1.04-EXP(0.38*LN('Range Analysis'!K27)-0.54))))-$A$309)/('Range Analysis'!J27/2),0,1,TRUE()))</f>
        <v>0.68501057321150916</v>
      </c>
      <c r="N309">
        <f>NORMDIST($A$309,0,'Range Analysis'!$F$8,FALSE())*(NORMDIST((('Range Analysis'!$F$6-IF('Range Analysis'!K28&lt;=0,0,'Range Analysis'!J28*MAX(0,1.04-EXP(0.38*LN('Range Analysis'!K28)-0.54))))-$A$309)/('Range Analysis'!J28/2),0,1,TRUE())-NORMDIST((-('Range Analysis'!$F$6-IF('Range Analysis'!K28&lt;=0,0,'Range Analysis'!J28*MAX(0,1.04-EXP(0.38*LN('Range Analysis'!K28)-0.54))))-$A$309)/('Range Analysis'!J28/2),0,1,TRUE()))</f>
        <v>0.69140885796740692</v>
      </c>
      <c r="O309">
        <f>NORMDIST($A$309,0,'Range Analysis'!$F$8,FALSE())*(NORMDIST((('Range Analysis'!$F$6-IF('Range Analysis'!K29&lt;=0,0,'Range Analysis'!J29*MAX(0,1.04-EXP(0.38*LN('Range Analysis'!K29)-0.54))))-$A$309)/('Range Analysis'!J29/2),0,1,TRUE())-NORMDIST((-('Range Analysis'!$F$6-IF('Range Analysis'!K29&lt;=0,0,'Range Analysis'!J29*MAX(0,1.04-EXP(0.38*LN('Range Analysis'!K29)-0.54))))-$A$309)/('Range Analysis'!J29/2),0,1,TRUE()))</f>
        <v>0.1949400445632907</v>
      </c>
      <c r="P309">
        <f>NORMDIST($A$309,0,'Range Analysis'!$F$8,FALSE())*(NORMDIST((('Range Analysis'!$F$6-IF('Range Analysis'!K30&lt;=0,0,'Range Analysis'!J30*MAX(0,1.04-EXP(0.38*LN('Range Analysis'!K30)-0.54))))-$A$309)/('Range Analysis'!J30/2),0,1,TRUE())-NORMDIST((-('Range Analysis'!$F$6-IF('Range Analysis'!K30&lt;=0,0,'Range Analysis'!J30*MAX(0,1.04-EXP(0.38*LN('Range Analysis'!K30)-0.54))))-$A$309)/('Range Analysis'!J30/2),0,1,TRUE()))</f>
        <v>9.0791235168806925E-2</v>
      </c>
      <c r="Q309">
        <f>NORMDIST($A$309,0,'Range Analysis'!$F$8,FALSE())*(NORMDIST(('Range Analysis'!$F$6-$A$309)/('Range Analysis'!J24/2),0,1,TRUE())-NORMDIST((-'Range Analysis'!$F$6-$A$309)/('Range Analysis'!J24/2),0,1,TRUE()))</f>
        <v>0.58594797484135286</v>
      </c>
      <c r="R309">
        <f>NORMDIST($A$309,0,'Range Analysis'!$F$8,FALSE())*(NORMDIST(('Range Analysis'!$F$6-$A$309)/('Range Analysis'!J25/2),0,1,TRUE())-NORMDIST((-'Range Analysis'!$F$6-$A$309)/('Range Analysis'!J25/2),0,1,TRUE()))</f>
        <v>0.6774978889649006</v>
      </c>
      <c r="S309">
        <f>NORMDIST($A$309,0,'Range Analysis'!$F$8,FALSE())*(NORMDIST(('Range Analysis'!$F$6-$A$309)/('Range Analysis'!J26/2),0,1,TRUE())-NORMDIST((-'Range Analysis'!$F$6-$A$309)/('Range Analysis'!J26/2),0,1,TRUE()))</f>
        <v>0.6774978889649006</v>
      </c>
      <c r="T309">
        <f>NORMDIST($A$309,0,'Range Analysis'!$F$8,FALSE())*(NORMDIST(('Range Analysis'!$F$6-$A$309)/('Range Analysis'!J27/2),0,1,TRUE())-NORMDIST((-'Range Analysis'!$F$6-$A$309)/('Range Analysis'!J27/2),0,1,TRUE()))</f>
        <v>0.68662629426317123</v>
      </c>
      <c r="U309">
        <f>NORMDIST($A$309,0,'Range Analysis'!$F$8,FALSE())*(NORMDIST(('Range Analysis'!$F$6-$A$309)/('Range Analysis'!J28/2),0,1,TRUE())-NORMDIST((-'Range Analysis'!$F$6-$A$309)/('Range Analysis'!J28/2),0,1,TRUE()))</f>
        <v>0.69140885796740692</v>
      </c>
      <c r="V309">
        <f>NORMDIST($A$309,0,'Range Analysis'!$F$8,FALSE())*(NORMDIST(('Range Analysis'!$F$6-$A$309)/('Range Analysis'!J29/2),0,1,TRUE())-NORMDIST((-'Range Analysis'!$F$6-$A$309)/('Range Analysis'!J29/2),0,1,TRUE()))</f>
        <v>0.47953644001551665</v>
      </c>
      <c r="W309">
        <f>NORMDIST($A$309,0,'Range Analysis'!$F$8,FALSE())*(NORMDIST((('Range Analysis'!$F$6-0)-$A$309)/('Range Analysis'!J30/2),0,1,TRUE())-NORMDIST((-('Range Analysis'!$F$6-0)-$A$309)/('Range Analysis'!J30/2),0,1,TRUE()))</f>
        <v>0.44745809773681205</v>
      </c>
    </row>
    <row r="310" spans="1:23" ht="15" customHeight="1" x14ac:dyDescent="0.25">
      <c r="A310">
        <f>-'Range Analysis'!$F$6+34*$B$275</f>
        <v>0.37179487179487181</v>
      </c>
      <c r="C310">
        <f>NORMDIST($A$310,0,'Range Analysis'!$F$8,FALSE())*(NORMDIST((('Range Analysis'!$F$6-0.98*'Range Analysis'!J24)-$A$310)/('Range Analysis'!J24/2),0,1,TRUE())-NORMDIST((-('Range Analysis'!$F$6-0.98*'Range Analysis'!J24)-$A$310)/('Range Analysis'!J24/2),0,1,TRUE()))</f>
        <v>8.4620374974497301E-2</v>
      </c>
      <c r="D310">
        <f>NORMDIST($A$310,0,'Range Analysis'!$F$8,FALSE())*(NORMDIST((('Range Analysis'!$F$6-0.98*'Range Analysis'!J25)-$A$310)/('Range Analysis'!J25/2),0,1,TRUE())-NORMDIST((-('Range Analysis'!$F$6-0.98*'Range Analysis'!J25)-$A$310)/('Range Analysis'!J25/2),0,1,TRUE()))</f>
        <v>0.25240929198706497</v>
      </c>
      <c r="E310">
        <f>NORMDIST($A$310,0,'Range Analysis'!$F$8,FALSE())*(NORMDIST((('Range Analysis'!$F$6-0.98*'Range Analysis'!J26)-$A$310)/('Range Analysis'!J26/2),0,1,TRUE())-NORMDIST((-('Range Analysis'!$F$6-0.98*'Range Analysis'!J26)-$A$310)/('Range Analysis'!J26/2),0,1,TRUE()))</f>
        <v>0.25240929198706497</v>
      </c>
      <c r="F310">
        <f>NORMDIST($A$310,0,'Range Analysis'!$F$8,FALSE())*(NORMDIST((('Range Analysis'!$F$6-0.98*'Range Analysis'!J27)-$A$310)/('Range Analysis'!J27/2),0,1,TRUE())-NORMDIST((-('Range Analysis'!$F$6-0.98*'Range Analysis'!J27)-$A$310)/('Range Analysis'!J27/2),0,1,TRUE()))</f>
        <v>0.33756272862132691</v>
      </c>
      <c r="G310">
        <f>NORMDIST($A$310,0,'Range Analysis'!$F$8,FALSE())*(NORMDIST((('Range Analysis'!$F$6-0.98*'Range Analysis'!J28)-$A$310)/('Range Analysis'!J28/2),0,1,TRUE())-NORMDIST((-('Range Analysis'!$F$6-0.98*'Range Analysis'!J28)-$A$310)/('Range Analysis'!J28/2),0,1,TRUE()))</f>
        <v>0.62935174766951929</v>
      </c>
      <c r="H310">
        <f>NORMDIST($A$310,0,'Range Analysis'!$F$8,FALSE())*(NORMDIST((('Range Analysis'!$F$6-0.98*'Range Analysis'!J29)-$A$310)/('Range Analysis'!J29/2),0,1,TRUE())-NORMDIST((-('Range Analysis'!$F$6-0.98*'Range Analysis'!J29)-$A$310)/('Range Analysis'!J29/2),0,1,TRUE()))</f>
        <v>-6.8849534516231436E-2</v>
      </c>
      <c r="I310">
        <f>NORMDIST($A$310,0,'Range Analysis'!$F$8,FALSE())*(NORMDIST((('Range Analysis'!$F$6-0.98*'Range Analysis'!J30)-$A$310)/('Range Analysis'!J30/2),0,1,TRUE())-NORMDIST((-('Range Analysis'!$F$6-0.98*'Range Analysis'!J30)-$A$310)/('Range Analysis'!J30/2),0,1,TRUE()))</f>
        <v>-0.19183714350955725</v>
      </c>
      <c r="J310">
        <f>NORMDIST($A$310,0,'Range Analysis'!$F$8,FALSE())*(NORMDIST((('Range Analysis'!$F$6-IF('Range Analysis'!K24&lt;=0,0,'Range Analysis'!J24*MAX(0,1.04-EXP(0.38*LN('Range Analysis'!K24)-0.54))))-$A$310)/('Range Analysis'!J24/2),0,1,TRUE())-NORMDIST((-('Range Analysis'!$F$6-IF('Range Analysis'!K24&lt;=0,0,'Range Analysis'!J24*MAX(0,1.04-EXP(0.38*LN('Range Analysis'!K24)-0.54))))-$A$310)/('Range Analysis'!J24/2),0,1,TRUE()))</f>
        <v>0.36206665283188699</v>
      </c>
      <c r="K310">
        <f>NORMDIST($A$310,0,'Range Analysis'!$F$8,FALSE())*(NORMDIST((('Range Analysis'!$F$6-IF('Range Analysis'!K25&lt;=0,0,'Range Analysis'!J25*MAX(0,1.04-EXP(0.38*LN('Range Analysis'!K25)-0.54))))-$A$310)/('Range Analysis'!J25/2),0,1,TRUE())-NORMDIST((-('Range Analysis'!$F$6-IF('Range Analysis'!K25&lt;=0,0,'Range Analysis'!J25*MAX(0,1.04-EXP(0.38*LN('Range Analysis'!K25)-0.54))))-$A$310)/('Range Analysis'!J25/2),0,1,TRUE()))</f>
        <v>0.58489444892620246</v>
      </c>
      <c r="L310">
        <f>NORMDIST($A$310,0,'Range Analysis'!$F$8,FALSE())*(NORMDIST((('Range Analysis'!$F$6-IF('Range Analysis'!K26&lt;=0,0,'Range Analysis'!J26*MAX(0,1.04-EXP(0.38*LN('Range Analysis'!K26)-0.54))))-$A$310)/('Range Analysis'!J26/2),0,1,TRUE())-NORMDIST((-('Range Analysis'!$F$6-IF('Range Analysis'!K26&lt;=0,0,'Range Analysis'!J26*MAX(0,1.04-EXP(0.38*LN('Range Analysis'!K26)-0.54))))-$A$310)/('Range Analysis'!J26/2),0,1,TRUE()))</f>
        <v>0.58489444892620246</v>
      </c>
      <c r="M310">
        <f>NORMDIST($A$310,0,'Range Analysis'!$F$8,FALSE())*(NORMDIST((('Range Analysis'!$F$6-IF('Range Analysis'!K27&lt;=0,0,'Range Analysis'!J27*MAX(0,1.04-EXP(0.38*LN('Range Analysis'!K27)-0.54))))-$A$310)/('Range Analysis'!J27/2),0,1,TRUE())-NORMDIST((-('Range Analysis'!$F$6-IF('Range Analysis'!K27&lt;=0,0,'Range Analysis'!J27*MAX(0,1.04-EXP(0.38*LN('Range Analysis'!K27)-0.54))))-$A$310)/('Range Analysis'!J27/2),0,1,TRUE()))</f>
        <v>0.61306090535870006</v>
      </c>
      <c r="N310">
        <f>NORMDIST($A$310,0,'Range Analysis'!$F$8,FALSE())*(NORMDIST((('Range Analysis'!$F$6-IF('Range Analysis'!K28&lt;=0,0,'Range Analysis'!J28*MAX(0,1.04-EXP(0.38*LN('Range Analysis'!K28)-0.54))))-$A$310)/('Range Analysis'!J28/2),0,1,TRUE())-NORMDIST((-('Range Analysis'!$F$6-IF('Range Analysis'!K28&lt;=0,0,'Range Analysis'!J28*MAX(0,1.04-EXP(0.38*LN('Range Analysis'!K28)-0.54))))-$A$310)/('Range Analysis'!J28/2),0,1,TRUE()))</f>
        <v>0.62935174766951929</v>
      </c>
      <c r="O310">
        <f>NORMDIST($A$310,0,'Range Analysis'!$F$8,FALSE())*(NORMDIST((('Range Analysis'!$F$6-IF('Range Analysis'!K29&lt;=0,0,'Range Analysis'!J29*MAX(0,1.04-EXP(0.38*LN('Range Analysis'!K29)-0.54))))-$A$310)/('Range Analysis'!J29/2),0,1,TRUE())-NORMDIST((-('Range Analysis'!$F$6-IF('Range Analysis'!K29&lt;=0,0,'Range Analysis'!J29*MAX(0,1.04-EXP(0.38*LN('Range Analysis'!K29)-0.54))))-$A$310)/('Range Analysis'!J29/2),0,1,TRUE()))</f>
        <v>0.16245811572686603</v>
      </c>
      <c r="P310">
        <f>NORMDIST($A$310,0,'Range Analysis'!$F$8,FALSE())*(NORMDIST((('Range Analysis'!$F$6-IF('Range Analysis'!K30&lt;=0,0,'Range Analysis'!J30*MAX(0,1.04-EXP(0.38*LN('Range Analysis'!K30)-0.54))))-$A$310)/('Range Analysis'!J30/2),0,1,TRUE())-NORMDIST((-('Range Analysis'!$F$6-IF('Range Analysis'!K30&lt;=0,0,'Range Analysis'!J30*MAX(0,1.04-EXP(0.38*LN('Range Analysis'!K30)-0.54))))-$A$310)/('Range Analysis'!J30/2),0,1,TRUE()))</f>
        <v>7.7512612632379504E-2</v>
      </c>
      <c r="Q310">
        <f>NORMDIST($A$310,0,'Range Analysis'!$F$8,FALSE())*(NORMDIST(('Range Analysis'!$F$6-$A$310)/('Range Analysis'!J24/2),0,1,TRUE())-NORMDIST((-'Range Analysis'!$F$6-$A$310)/('Range Analysis'!J24/2),0,1,TRUE()))</f>
        <v>0.50577325067308487</v>
      </c>
      <c r="R310">
        <f>NORMDIST($A$310,0,'Range Analysis'!$F$8,FALSE())*(NORMDIST(('Range Analysis'!$F$6-$A$310)/('Range Analysis'!J25/2),0,1,TRUE())-NORMDIST((-'Range Analysis'!$F$6-$A$310)/('Range Analysis'!J25/2),0,1,TRUE()))</f>
        <v>0.60185645087801187</v>
      </c>
      <c r="S310">
        <f>NORMDIST($A$310,0,'Range Analysis'!$F$8,FALSE())*(NORMDIST(('Range Analysis'!$F$6-$A$310)/('Range Analysis'!J26/2),0,1,TRUE())-NORMDIST((-'Range Analysis'!$F$6-$A$310)/('Range Analysis'!J26/2),0,1,TRUE()))</f>
        <v>0.60185645087801187</v>
      </c>
      <c r="T310">
        <f>NORMDIST($A$310,0,'Range Analysis'!$F$8,FALSE())*(NORMDIST(('Range Analysis'!$F$6-$A$310)/('Range Analysis'!J27/2),0,1,TRUE())-NORMDIST((-'Range Analysis'!$F$6-$A$310)/('Range Analysis'!J27/2),0,1,TRUE()))</f>
        <v>0.61668935181991824</v>
      </c>
      <c r="U310">
        <f>NORMDIST($A$310,0,'Range Analysis'!$F$8,FALSE())*(NORMDIST(('Range Analysis'!$F$6-$A$310)/('Range Analysis'!J28/2),0,1,TRUE())-NORMDIST((-'Range Analysis'!$F$6-$A$310)/('Range Analysis'!J28/2),0,1,TRUE()))</f>
        <v>0.62935174766951929</v>
      </c>
      <c r="V310">
        <f>NORMDIST($A$310,0,'Range Analysis'!$F$8,FALSE())*(NORMDIST(('Range Analysis'!$F$6-$A$310)/('Range Analysis'!J29/2),0,1,TRUE())-NORMDIST((-'Range Analysis'!$F$6-$A$310)/('Range Analysis'!J29/2),0,1,TRUE()))</f>
        <v>0.41764250118770541</v>
      </c>
      <c r="W310">
        <f>NORMDIST($A$310,0,'Range Analysis'!$F$8,FALSE())*(NORMDIST((('Range Analysis'!$F$6-0)-$A$310)/('Range Analysis'!J30/2),0,1,TRUE())-NORMDIST((-('Range Analysis'!$F$6-0)-$A$310)/('Range Analysis'!J30/2),0,1,TRUE()))</f>
        <v>0.3925504956868211</v>
      </c>
    </row>
    <row r="311" spans="1:23" ht="15" customHeight="1" x14ac:dyDescent="0.25">
      <c r="A311">
        <f>-'Range Analysis'!$F$6+35*$B$275</f>
        <v>0.39743589743589736</v>
      </c>
      <c r="C311">
        <f>NORMDIST($A$311,0,'Range Analysis'!$F$8,FALSE())*(NORMDIST((('Range Analysis'!$F$6-0.98*'Range Analysis'!J24)-$A$311)/('Range Analysis'!J24/2),0,1,TRUE())-NORMDIST((-('Range Analysis'!$F$6-0.98*'Range Analysis'!J24)-$A$311)/('Range Analysis'!J24/2),0,1,TRUE()))</f>
        <v>5.7418891900966232E-2</v>
      </c>
      <c r="D311">
        <f>NORMDIST($A$311,0,'Range Analysis'!$F$8,FALSE())*(NORMDIST((('Range Analysis'!$F$6-0.98*'Range Analysis'!J25)-$A$311)/('Range Analysis'!J25/2),0,1,TRUE())-NORMDIST((-('Range Analysis'!$F$6-0.98*'Range Analysis'!J25)-$A$311)/('Range Analysis'!J25/2),0,1,TRUE()))</f>
        <v>0.15748745401560599</v>
      </c>
      <c r="E311">
        <f>NORMDIST($A$311,0,'Range Analysis'!$F$8,FALSE())*(NORMDIST((('Range Analysis'!$F$6-0.98*'Range Analysis'!J26)-$A$311)/('Range Analysis'!J26/2),0,1,TRUE())-NORMDIST((-('Range Analysis'!$F$6-0.98*'Range Analysis'!J26)-$A$311)/('Range Analysis'!J26/2),0,1,TRUE()))</f>
        <v>0.15748745401560599</v>
      </c>
      <c r="F311">
        <f>NORMDIST($A$311,0,'Range Analysis'!$F$8,FALSE())*(NORMDIST((('Range Analysis'!$F$6-0.98*'Range Analysis'!J27)-$A$311)/('Range Analysis'!J27/2),0,1,TRUE())-NORMDIST((-('Range Analysis'!$F$6-0.98*'Range Analysis'!J27)-$A$311)/('Range Analysis'!J27/2),0,1,TRUE()))</f>
        <v>0.21331374123067434</v>
      </c>
      <c r="G311">
        <f>NORMDIST($A$311,0,'Range Analysis'!$F$8,FALSE())*(NORMDIST((('Range Analysis'!$F$6-0.98*'Range Analysis'!J28)-$A$311)/('Range Analysis'!J28/2),0,1,TRUE())-NORMDIST((-('Range Analysis'!$F$6-0.98*'Range Analysis'!J28)-$A$311)/('Range Analysis'!J28/2),0,1,TRUE()))</f>
        <v>0.5690293875443635</v>
      </c>
      <c r="H311">
        <f>NORMDIST($A$311,0,'Range Analysis'!$F$8,FALSE())*(NORMDIST((('Range Analysis'!$F$6-0.98*'Range Analysis'!J29)-$A$311)/('Range Analysis'!J29/2),0,1,TRUE())-NORMDIST((-('Range Analysis'!$F$6-0.98*'Range Analysis'!J29)-$A$311)/('Range Analysis'!J29/2),0,1,TRUE()))</f>
        <v>-5.5961658588701321E-2</v>
      </c>
      <c r="I311">
        <f>NORMDIST($A$311,0,'Range Analysis'!$F$8,FALSE())*(NORMDIST((('Range Analysis'!$F$6-0.98*'Range Analysis'!J30)-$A$311)/('Range Analysis'!J30/2),0,1,TRUE())-NORMDIST((-('Range Analysis'!$F$6-0.98*'Range Analysis'!J30)-$A$311)/('Range Analysis'!J30/2),0,1,TRUE()))</f>
        <v>-0.16308280961884439</v>
      </c>
      <c r="J311">
        <f>NORMDIST($A$311,0,'Range Analysis'!$F$8,FALSE())*(NORMDIST((('Range Analysis'!$F$6-IF('Range Analysis'!K24&lt;=0,0,'Range Analysis'!J24*MAX(0,1.04-EXP(0.38*LN('Range Analysis'!K24)-0.54))))-$A$311)/('Range Analysis'!J24/2),0,1,TRUE())-NORMDIST((-('Range Analysis'!$F$6-IF('Range Analysis'!K24&lt;=0,0,'Range Analysis'!J24*MAX(0,1.04-EXP(0.38*LN('Range Analysis'!K24)-0.54))))-$A$311)/('Range Analysis'!J24/2),0,1,TRUE()))</f>
        <v>0.28881547382914452</v>
      </c>
      <c r="K311">
        <f>NORMDIST($A$311,0,'Range Analysis'!$F$8,FALSE())*(NORMDIST((('Range Analysis'!$F$6-IF('Range Analysis'!K25&lt;=0,0,'Range Analysis'!J25*MAX(0,1.04-EXP(0.38*LN('Range Analysis'!K25)-0.54))))-$A$311)/('Range Analysis'!J25/2),0,1,TRUE())-NORMDIST((-('Range Analysis'!$F$6-IF('Range Analysis'!K25&lt;=0,0,'Range Analysis'!J25*MAX(0,1.04-EXP(0.38*LN('Range Analysis'!K25)-0.54))))-$A$311)/('Range Analysis'!J25/2),0,1,TRUE()))</f>
        <v>0.49538859667912544</v>
      </c>
      <c r="L311">
        <f>NORMDIST($A$311,0,'Range Analysis'!$F$8,FALSE())*(NORMDIST((('Range Analysis'!$F$6-IF('Range Analysis'!K26&lt;=0,0,'Range Analysis'!J26*MAX(0,1.04-EXP(0.38*LN('Range Analysis'!K26)-0.54))))-$A$311)/('Range Analysis'!J26/2),0,1,TRUE())-NORMDIST((-('Range Analysis'!$F$6-IF('Range Analysis'!K26&lt;=0,0,'Range Analysis'!J26*MAX(0,1.04-EXP(0.38*LN('Range Analysis'!K26)-0.54))))-$A$311)/('Range Analysis'!J26/2),0,1,TRUE()))</f>
        <v>0.49538859667912544</v>
      </c>
      <c r="M311">
        <f>NORMDIST($A$311,0,'Range Analysis'!$F$8,FALSE())*(NORMDIST((('Range Analysis'!$F$6-IF('Range Analysis'!K27&lt;=0,0,'Range Analysis'!J27*MAX(0,1.04-EXP(0.38*LN('Range Analysis'!K27)-0.54))))-$A$311)/('Range Analysis'!J27/2),0,1,TRUE())-NORMDIST((-('Range Analysis'!$F$6-IF('Range Analysis'!K27&lt;=0,0,'Range Analysis'!J27*MAX(0,1.04-EXP(0.38*LN('Range Analysis'!K27)-0.54))))-$A$311)/('Range Analysis'!J27/2),0,1,TRUE()))</f>
        <v>0.53351139003984449</v>
      </c>
      <c r="N311">
        <f>NORMDIST($A$311,0,'Range Analysis'!$F$8,FALSE())*(NORMDIST((('Range Analysis'!$F$6-IF('Range Analysis'!K28&lt;=0,0,'Range Analysis'!J28*MAX(0,1.04-EXP(0.38*LN('Range Analysis'!K28)-0.54))))-$A$311)/('Range Analysis'!J28/2),0,1,TRUE())-NORMDIST((-('Range Analysis'!$F$6-IF('Range Analysis'!K28&lt;=0,0,'Range Analysis'!J28*MAX(0,1.04-EXP(0.38*LN('Range Analysis'!K28)-0.54))))-$A$311)/('Range Analysis'!J28/2),0,1,TRUE()))</f>
        <v>0.5690293875443635</v>
      </c>
      <c r="O311">
        <f>NORMDIST($A$311,0,'Range Analysis'!$F$8,FALSE())*(NORMDIST((('Range Analysis'!$F$6-IF('Range Analysis'!K29&lt;=0,0,'Range Analysis'!J29*MAX(0,1.04-EXP(0.38*LN('Range Analysis'!K29)-0.54))))-$A$311)/('Range Analysis'!J29/2),0,1,TRUE())-NORMDIST((-('Range Analysis'!$F$6-IF('Range Analysis'!K29&lt;=0,0,'Range Analysis'!J29*MAX(0,1.04-EXP(0.38*LN('Range Analysis'!K29)-0.54))))-$A$311)/('Range Analysis'!J29/2),0,1,TRUE()))</f>
        <v>0.1336266145870417</v>
      </c>
      <c r="P311">
        <f>NORMDIST($A$311,0,'Range Analysis'!$F$8,FALSE())*(NORMDIST((('Range Analysis'!$F$6-IF('Range Analysis'!K30&lt;=0,0,'Range Analysis'!J30*MAX(0,1.04-EXP(0.38*LN('Range Analysis'!K30)-0.54))))-$A$311)/('Range Analysis'!J30/2),0,1,TRUE())-NORMDIST((-('Range Analysis'!$F$6-IF('Range Analysis'!K30&lt;=0,0,'Range Analysis'!J30*MAX(0,1.04-EXP(0.38*LN('Range Analysis'!K30)-0.54))))-$A$311)/('Range Analysis'!J30/2),0,1,TRUE()))</f>
        <v>6.543277761634983E-2</v>
      </c>
      <c r="Q311">
        <f>NORMDIST($A$311,0,'Range Analysis'!$F$8,FALSE())*(NORMDIST(('Range Analysis'!$F$6-$A$311)/('Range Analysis'!J24/2),0,1,TRUE())-NORMDIST((-'Range Analysis'!$F$6-$A$311)/('Range Analysis'!J24/2),0,1,TRUE()))</f>
        <v>0.42844319484600901</v>
      </c>
      <c r="R311">
        <f>NORMDIST($A$311,0,'Range Analysis'!$F$8,FALSE())*(NORMDIST(('Range Analysis'!$F$6-$A$311)/('Range Analysis'!J25/2),0,1,TRUE())-NORMDIST((-'Range Analysis'!$F$6-$A$311)/('Range Analysis'!J25/2),0,1,TRUE()))</f>
        <v>0.52024594493177267</v>
      </c>
      <c r="S311">
        <f>NORMDIST($A$311,0,'Range Analysis'!$F$8,FALSE())*(NORMDIST(('Range Analysis'!$F$6-$A$311)/('Range Analysis'!J26/2),0,1,TRUE())-NORMDIST((-'Range Analysis'!$F$6-$A$311)/('Range Analysis'!J26/2),0,1,TRUE()))</f>
        <v>0.52024594493177267</v>
      </c>
      <c r="T311">
        <f>NORMDIST($A$311,0,'Range Analysis'!$F$8,FALSE())*(NORMDIST(('Range Analysis'!$F$6-$A$311)/('Range Analysis'!J27/2),0,1,TRUE())-NORMDIST((-'Range Analysis'!$F$6-$A$311)/('Range Analysis'!J27/2),0,1,TRUE()))</f>
        <v>0.54035255615293576</v>
      </c>
      <c r="U311">
        <f>NORMDIST($A$311,0,'Range Analysis'!$F$8,FALSE())*(NORMDIST(('Range Analysis'!$F$6-$A$311)/('Range Analysis'!J28/2),0,1,TRUE())-NORMDIST((-'Range Analysis'!$F$6-$A$311)/('Range Analysis'!J28/2),0,1,TRUE()))</f>
        <v>0.5690293875443635</v>
      </c>
      <c r="V311">
        <f>NORMDIST($A$311,0,'Range Analysis'!$F$8,FALSE())*(NORMDIST(('Range Analysis'!$F$6-$A$311)/('Range Analysis'!J29/2),0,1,TRUE())-NORMDIST((-'Range Analysis'!$F$6-$A$311)/('Range Analysis'!J29/2),0,1,TRUE()))</f>
        <v>0.3598492122335667</v>
      </c>
      <c r="W311">
        <f>NORMDIST($A$311,0,'Range Analysis'!$F$8,FALSE())*(NORMDIST((('Range Analysis'!$F$6-0)-$A$311)/('Range Analysis'!J30/2),0,1,TRUE())-NORMDIST((-('Range Analysis'!$F$6-0)-$A$311)/('Range Analysis'!J30/2),0,1,TRUE()))</f>
        <v>0.34108490573841027</v>
      </c>
    </row>
    <row r="312" spans="1:23" ht="15" customHeight="1" x14ac:dyDescent="0.25">
      <c r="A312">
        <f>-'Range Analysis'!$F$6+36*$B$275</f>
        <v>0.42307692307692302</v>
      </c>
      <c r="C312">
        <f>NORMDIST($A$312,0,'Range Analysis'!$F$8,FALSE())*(NORMDIST((('Range Analysis'!$F$6-0.98*'Range Analysis'!J24)-$A$312)/('Range Analysis'!J24/2),0,1,TRUE())-NORMDIST((-('Range Analysis'!$F$6-0.98*'Range Analysis'!J24)-$A$312)/('Range Analysis'!J24/2),0,1,TRUE()))</f>
        <v>3.7771101567599719E-2</v>
      </c>
      <c r="D312">
        <f>NORMDIST($A$312,0,'Range Analysis'!$F$8,FALSE())*(NORMDIST((('Range Analysis'!$F$6-0.98*'Range Analysis'!J25)-$A$312)/('Range Analysis'!J25/2),0,1,TRUE())-NORMDIST((-('Range Analysis'!$F$6-0.98*'Range Analysis'!J25)-$A$312)/('Range Analysis'!J25/2),0,1,TRUE()))</f>
        <v>8.9463127602201931E-2</v>
      </c>
      <c r="E312">
        <f>NORMDIST($A$312,0,'Range Analysis'!$F$8,FALSE())*(NORMDIST((('Range Analysis'!$F$6-0.98*'Range Analysis'!J26)-$A$312)/('Range Analysis'!J26/2),0,1,TRUE())-NORMDIST((-('Range Analysis'!$F$6-0.98*'Range Analysis'!J26)-$A$312)/('Range Analysis'!J26/2),0,1,TRUE()))</f>
        <v>8.9463127602201931E-2</v>
      </c>
      <c r="F312">
        <f>NORMDIST($A$312,0,'Range Analysis'!$F$8,FALSE())*(NORMDIST((('Range Analysis'!$F$6-0.98*'Range Analysis'!J27)-$A$312)/('Range Analysis'!J27/2),0,1,TRUE())-NORMDIST((-('Range Analysis'!$F$6-0.98*'Range Analysis'!J27)-$A$312)/('Range Analysis'!J27/2),0,1,TRUE()))</f>
        <v>0.11903772124374017</v>
      </c>
      <c r="G312">
        <f>NORMDIST($A$312,0,'Range Analysis'!$F$8,FALSE())*(NORMDIST((('Range Analysis'!$F$6-0.98*'Range Analysis'!J28)-$A$312)/('Range Analysis'!J28/2),0,1,TRUE())-NORMDIST((-('Range Analysis'!$F$6-0.98*'Range Analysis'!J28)-$A$312)/('Range Analysis'!J28/2),0,1,TRUE()))</f>
        <v>0.51104447799743435</v>
      </c>
      <c r="H312">
        <f>NORMDIST($A$312,0,'Range Analysis'!$F$8,FALSE())*(NORMDIST((('Range Analysis'!$F$6-0.98*'Range Analysis'!J29)-$A$312)/('Range Analysis'!J29/2),0,1,TRUE())-NORMDIST((-('Range Analysis'!$F$6-0.98*'Range Analysis'!J29)-$A$312)/('Range Analysis'!J29/2),0,1,TRUE()))</f>
        <v>-4.4861900935752812E-2</v>
      </c>
      <c r="I312">
        <f>NORMDIST($A$312,0,'Range Analysis'!$F$8,FALSE())*(NORMDIST((('Range Analysis'!$F$6-0.98*'Range Analysis'!J30)-$A$312)/('Range Analysis'!J30/2),0,1,TRUE())-NORMDIST((-('Range Analysis'!$F$6-0.98*'Range Analysis'!J30)-$A$312)/('Range Analysis'!J30/2),0,1,TRUE()))</f>
        <v>-0.13714159050627892</v>
      </c>
      <c r="J312">
        <f>NORMDIST($A$312,0,'Range Analysis'!$F$8,FALSE())*(NORMDIST((('Range Analysis'!$F$6-IF('Range Analysis'!K24&lt;=0,0,'Range Analysis'!J24*MAX(0,1.04-EXP(0.38*LN('Range Analysis'!K24)-0.54))))-$A$312)/('Range Analysis'!J24/2),0,1,TRUE())-NORMDIST((-('Range Analysis'!$F$6-IF('Range Analysis'!K24&lt;=0,0,'Range Analysis'!J24*MAX(0,1.04-EXP(0.38*LN('Range Analysis'!K24)-0.54))))-$A$312)/('Range Analysis'!J24/2),0,1,TRUE()))</f>
        <v>0.22465310123977081</v>
      </c>
      <c r="K312">
        <f>NORMDIST($A$312,0,'Range Analysis'!$F$8,FALSE())*(NORMDIST((('Range Analysis'!$F$6-IF('Range Analysis'!K25&lt;=0,0,'Range Analysis'!J25*MAX(0,1.04-EXP(0.38*LN('Range Analysis'!K25)-0.54))))-$A$312)/('Range Analysis'!J25/2),0,1,TRUE())-NORMDIST((-('Range Analysis'!$F$6-IF('Range Analysis'!K25&lt;=0,0,'Range Analysis'!J25*MAX(0,1.04-EXP(0.38*LN('Range Analysis'!K25)-0.54))))-$A$312)/('Range Analysis'!J25/2),0,1,TRUE()))</f>
        <v>0.40088450231144163</v>
      </c>
      <c r="L312">
        <f>NORMDIST($A$312,0,'Range Analysis'!$F$8,FALSE())*(NORMDIST((('Range Analysis'!$F$6-IF('Range Analysis'!K26&lt;=0,0,'Range Analysis'!J26*MAX(0,1.04-EXP(0.38*LN('Range Analysis'!K26)-0.54))))-$A$312)/('Range Analysis'!J26/2),0,1,TRUE())-NORMDIST((-('Range Analysis'!$F$6-IF('Range Analysis'!K26&lt;=0,0,'Range Analysis'!J26*MAX(0,1.04-EXP(0.38*LN('Range Analysis'!K26)-0.54))))-$A$312)/('Range Analysis'!J26/2),0,1,TRUE()))</f>
        <v>0.40088450231144163</v>
      </c>
      <c r="M312">
        <f>NORMDIST($A$312,0,'Range Analysis'!$F$8,FALSE())*(NORMDIST((('Range Analysis'!$F$6-IF('Range Analysis'!K27&lt;=0,0,'Range Analysis'!J27*MAX(0,1.04-EXP(0.38*LN('Range Analysis'!K27)-0.54))))-$A$312)/('Range Analysis'!J27/2),0,1,TRUE())-NORMDIST((-('Range Analysis'!$F$6-IF('Range Analysis'!K27&lt;=0,0,'Range Analysis'!J27*MAX(0,1.04-EXP(0.38*LN('Range Analysis'!K27)-0.54))))-$A$312)/('Range Analysis'!J27/2),0,1,TRUE()))</f>
        <v>0.44440691562175733</v>
      </c>
      <c r="N312">
        <f>NORMDIST($A$312,0,'Range Analysis'!$F$8,FALSE())*(NORMDIST((('Range Analysis'!$F$6-IF('Range Analysis'!K28&lt;=0,0,'Range Analysis'!J28*MAX(0,1.04-EXP(0.38*LN('Range Analysis'!K28)-0.54))))-$A$312)/('Range Analysis'!J28/2),0,1,TRUE())-NORMDIST((-('Range Analysis'!$F$6-IF('Range Analysis'!K28&lt;=0,0,'Range Analysis'!J28*MAX(0,1.04-EXP(0.38*LN('Range Analysis'!K28)-0.54))))-$A$312)/('Range Analysis'!J28/2),0,1,TRUE()))</f>
        <v>0.51104447799743435</v>
      </c>
      <c r="O312">
        <f>NORMDIST($A$312,0,'Range Analysis'!$F$8,FALSE())*(NORMDIST((('Range Analysis'!$F$6-IF('Range Analysis'!K29&lt;=0,0,'Range Analysis'!J29*MAX(0,1.04-EXP(0.38*LN('Range Analysis'!K29)-0.54))))-$A$312)/('Range Analysis'!J29/2),0,1,TRUE())-NORMDIST((-('Range Analysis'!$F$6-IF('Range Analysis'!K29&lt;=0,0,'Range Analysis'!J29*MAX(0,1.04-EXP(0.38*LN('Range Analysis'!K29)-0.54))))-$A$312)/('Range Analysis'!J29/2),0,1,TRUE()))</f>
        <v>0.10847988084955408</v>
      </c>
      <c r="P312">
        <f>NORMDIST($A$312,0,'Range Analysis'!$F$8,FALSE())*(NORMDIST((('Range Analysis'!$F$6-IF('Range Analysis'!K30&lt;=0,0,'Range Analysis'!J30*MAX(0,1.04-EXP(0.38*LN('Range Analysis'!K30)-0.54))))-$A$312)/('Range Analysis'!J30/2),0,1,TRUE())-NORMDIST((-('Range Analysis'!$F$6-IF('Range Analysis'!K30&lt;=0,0,'Range Analysis'!J30*MAX(0,1.04-EXP(0.38*LN('Range Analysis'!K30)-0.54))))-$A$312)/('Range Analysis'!J30/2),0,1,TRUE()))</f>
        <v>5.4615107642626927E-2</v>
      </c>
      <c r="Q312">
        <f>NORMDIST($A$312,0,'Range Analysis'!$F$8,FALSE())*(NORMDIST(('Range Analysis'!$F$6-$A$312)/('Range Analysis'!J24/2),0,1,TRUE())-NORMDIST((-'Range Analysis'!$F$6-$A$312)/('Range Analysis'!J24/2),0,1,TRUE()))</f>
        <v>0.35566731207970748</v>
      </c>
      <c r="R312">
        <f>NORMDIST($A$312,0,'Range Analysis'!$F$8,FALSE())*(NORMDIST(('Range Analysis'!$F$6-$A$312)/('Range Analysis'!J25/2),0,1,TRUE())-NORMDIST((-'Range Analysis'!$F$6-$A$312)/('Range Analysis'!J25/2),0,1,TRUE()))</f>
        <v>0.4330946537236981</v>
      </c>
      <c r="S312">
        <f>NORMDIST($A$312,0,'Range Analysis'!$F$8,FALSE())*(NORMDIST(('Range Analysis'!$F$6-$A$312)/('Range Analysis'!J26/2),0,1,TRUE())-NORMDIST((-'Range Analysis'!$F$6-$A$312)/('Range Analysis'!J26/2),0,1,TRUE()))</f>
        <v>0.4330946537236981</v>
      </c>
      <c r="T312">
        <f>NORMDIST($A$312,0,'Range Analysis'!$F$8,FALSE())*(NORMDIST(('Range Analysis'!$F$6-$A$312)/('Range Analysis'!J27/2),0,1,TRUE())-NORMDIST((-'Range Analysis'!$F$6-$A$312)/('Range Analysis'!J27/2),0,1,TRUE()))</f>
        <v>0.45523607361459717</v>
      </c>
      <c r="U312">
        <f>NORMDIST($A$312,0,'Range Analysis'!$F$8,FALSE())*(NORMDIST(('Range Analysis'!$F$6-$A$312)/('Range Analysis'!J28/2),0,1,TRUE())-NORMDIST((-'Range Analysis'!$F$6-$A$312)/('Range Analysis'!J28/2),0,1,TRUE()))</f>
        <v>0.51104447799743435</v>
      </c>
      <c r="V312">
        <f>NORMDIST($A$312,0,'Range Analysis'!$F$8,FALSE())*(NORMDIST(('Range Analysis'!$F$6-$A$312)/('Range Analysis'!J29/2),0,1,TRUE())-NORMDIST((-'Range Analysis'!$F$6-$A$312)/('Range Analysis'!J29/2),0,1,TRUE()))</f>
        <v>0.3066968118831398</v>
      </c>
      <c r="W312">
        <f>NORMDIST($A$312,0,'Range Analysis'!$F$8,FALSE())*(NORMDIST((('Range Analysis'!$F$6-0)-$A$312)/('Range Analysis'!J30/2),0,1,TRUE())-NORMDIST((-('Range Analysis'!$F$6-0)-$A$312)/('Range Analysis'!J30/2),0,1,TRUE()))</f>
        <v>0.2935168073971417</v>
      </c>
    </row>
    <row r="313" spans="1:23" ht="15" customHeight="1" x14ac:dyDescent="0.25">
      <c r="A313">
        <f>-'Range Analysis'!$F$6+37*$B$275</f>
        <v>0.44871794871794868</v>
      </c>
      <c r="C313">
        <f>NORMDIST($A$313,0,'Range Analysis'!$F$8,FALSE())*(NORMDIST((('Range Analysis'!$F$6-0.98*'Range Analysis'!J24)-$A$313)/('Range Analysis'!J24/2),0,1,TRUE())-NORMDIST((-('Range Analysis'!$F$6-0.98*'Range Analysis'!J24)-$A$313)/('Range Analysis'!J24/2),0,1,TRUE()))</f>
        <v>2.4076781458775048E-2</v>
      </c>
      <c r="D313">
        <f>NORMDIST($A$313,0,'Range Analysis'!$F$8,FALSE())*(NORMDIST((('Range Analysis'!$F$6-0.98*'Range Analysis'!J25)-$A$313)/('Range Analysis'!J25/2),0,1,TRUE())-NORMDIST((-('Range Analysis'!$F$6-0.98*'Range Analysis'!J25)-$A$313)/('Range Analysis'!J25/2),0,1,TRUE()))</f>
        <v>4.6016041020703599E-2</v>
      </c>
      <c r="E313">
        <f>NORMDIST($A$313,0,'Range Analysis'!$F$8,FALSE())*(NORMDIST((('Range Analysis'!$F$6-0.98*'Range Analysis'!J26)-$A$313)/('Range Analysis'!J26/2),0,1,TRUE())-NORMDIST((-('Range Analysis'!$F$6-0.98*'Range Analysis'!J26)-$A$313)/('Range Analysis'!J26/2),0,1,TRUE()))</f>
        <v>4.6016041020703599E-2</v>
      </c>
      <c r="F313">
        <f>NORMDIST($A$313,0,'Range Analysis'!$F$8,FALSE())*(NORMDIST((('Range Analysis'!$F$6-0.98*'Range Analysis'!J27)-$A$313)/('Range Analysis'!J27/2),0,1,TRUE())-NORMDIST((-('Range Analysis'!$F$6-0.98*'Range Analysis'!J27)-$A$313)/('Range Analysis'!J27/2),0,1,TRUE()))</f>
        <v>5.801272509324034E-2</v>
      </c>
      <c r="G313">
        <f>NORMDIST($A$313,0,'Range Analysis'!$F$8,FALSE())*(NORMDIST((('Range Analysis'!$F$6-0.98*'Range Analysis'!J28)-$A$313)/('Range Analysis'!J28/2),0,1,TRUE())-NORMDIST((-('Range Analysis'!$F$6-0.98*'Range Analysis'!J28)-$A$313)/('Range Analysis'!J28/2),0,1,TRUE()))</f>
        <v>0.45589565597028198</v>
      </c>
      <c r="H313">
        <f>NORMDIST($A$313,0,'Range Analysis'!$F$8,FALSE())*(NORMDIST((('Range Analysis'!$F$6-0.98*'Range Analysis'!J29)-$A$313)/('Range Analysis'!J29/2),0,1,TRUE())-NORMDIST((-('Range Analysis'!$F$6-0.98*'Range Analysis'!J29)-$A$313)/('Range Analysis'!J29/2),0,1,TRUE()))</f>
        <v>-3.5470062575435148E-2</v>
      </c>
      <c r="I313">
        <f>NORMDIST($A$313,0,'Range Analysis'!$F$8,FALSE())*(NORMDIST((('Range Analysis'!$F$6-0.98*'Range Analysis'!J30)-$A$313)/('Range Analysis'!J30/2),0,1,TRUE())-NORMDIST((-('Range Analysis'!$F$6-0.98*'Range Analysis'!J30)-$A$313)/('Range Analysis'!J30/2),0,1,TRUE()))</f>
        <v>-0.11408100630675358</v>
      </c>
      <c r="J313">
        <f>NORMDIST($A$313,0,'Range Analysis'!$F$8,FALSE())*(NORMDIST((('Range Analysis'!$F$6-IF('Range Analysis'!K24&lt;=0,0,'Range Analysis'!J24*MAX(0,1.04-EXP(0.38*LN('Range Analysis'!K24)-0.54))))-$A$313)/('Range Analysis'!J24/2),0,1,TRUE())-NORMDIST((-('Range Analysis'!$F$6-IF('Range Analysis'!K24&lt;=0,0,'Range Analysis'!J24*MAX(0,1.04-EXP(0.38*LN('Range Analysis'!K24)-0.54))))-$A$313)/('Range Analysis'!J24/2),0,1,TRUE()))</f>
        <v>0.17021899488215431</v>
      </c>
      <c r="K313">
        <f>NORMDIST($A$313,0,'Range Analysis'!$F$8,FALSE())*(NORMDIST((('Range Analysis'!$F$6-IF('Range Analysis'!K25&lt;=0,0,'Range Analysis'!J25*MAX(0,1.04-EXP(0.38*LN('Range Analysis'!K25)-0.54))))-$A$313)/('Range Analysis'!J25/2),0,1,TRUE())-NORMDIST((-('Range Analysis'!$F$6-IF('Range Analysis'!K25&lt;=0,0,'Range Analysis'!J25*MAX(0,1.04-EXP(0.38*LN('Range Analysis'!K25)-0.54))))-$A$313)/('Range Analysis'!J25/2),0,1,TRUE()))</f>
        <v>0.30635510402671606</v>
      </c>
      <c r="L313">
        <f>NORMDIST($A$313,0,'Range Analysis'!$F$8,FALSE())*(NORMDIST((('Range Analysis'!$F$6-IF('Range Analysis'!K26&lt;=0,0,'Range Analysis'!J26*MAX(0,1.04-EXP(0.38*LN('Range Analysis'!K26)-0.54))))-$A$313)/('Range Analysis'!J26/2),0,1,TRUE())-NORMDIST((-('Range Analysis'!$F$6-IF('Range Analysis'!K26&lt;=0,0,'Range Analysis'!J26*MAX(0,1.04-EXP(0.38*LN('Range Analysis'!K26)-0.54))))-$A$313)/('Range Analysis'!J26/2),0,1,TRUE()))</f>
        <v>0.30635510402671606</v>
      </c>
      <c r="M313">
        <f>NORMDIST($A$313,0,'Range Analysis'!$F$8,FALSE())*(NORMDIST((('Range Analysis'!$F$6-IF('Range Analysis'!K27&lt;=0,0,'Range Analysis'!J27*MAX(0,1.04-EXP(0.38*LN('Range Analysis'!K27)-0.54))))-$A$313)/('Range Analysis'!J27/2),0,1,TRUE())-NORMDIST((-('Range Analysis'!$F$6-IF('Range Analysis'!K27&lt;=0,0,'Range Analysis'!J27*MAX(0,1.04-EXP(0.38*LN('Range Analysis'!K27)-0.54))))-$A$313)/('Range Analysis'!J27/2),0,1,TRUE()))</f>
        <v>0.34760673792199009</v>
      </c>
      <c r="N313">
        <f>NORMDIST($A$313,0,'Range Analysis'!$F$8,FALSE())*(NORMDIST((('Range Analysis'!$F$6-IF('Range Analysis'!K28&lt;=0,0,'Range Analysis'!J28*MAX(0,1.04-EXP(0.38*LN('Range Analysis'!K28)-0.54))))-$A$313)/('Range Analysis'!J28/2),0,1,TRUE())-NORMDIST((-('Range Analysis'!$F$6-IF('Range Analysis'!K28&lt;=0,0,'Range Analysis'!J28*MAX(0,1.04-EXP(0.38*LN('Range Analysis'!K28)-0.54))))-$A$313)/('Range Analysis'!J28/2),0,1,TRUE()))</f>
        <v>0.45589565597028198</v>
      </c>
      <c r="O313">
        <f>NORMDIST($A$313,0,'Range Analysis'!$F$8,FALSE())*(NORMDIST((('Range Analysis'!$F$6-IF('Range Analysis'!K29&lt;=0,0,'Range Analysis'!J29*MAX(0,1.04-EXP(0.38*LN('Range Analysis'!K29)-0.54))))-$A$313)/('Range Analysis'!J29/2),0,1,TRUE())-NORMDIST((-('Range Analysis'!$F$6-IF('Range Analysis'!K29&lt;=0,0,'Range Analysis'!J29*MAX(0,1.04-EXP(0.38*LN('Range Analysis'!K29)-0.54))))-$A$313)/('Range Analysis'!J29/2),0,1,TRUE()))</f>
        <v>8.6916722762417367E-2</v>
      </c>
      <c r="P313">
        <f>NORMDIST($A$313,0,'Range Analysis'!$F$8,FALSE())*(NORMDIST((('Range Analysis'!$F$6-IF('Range Analysis'!K30&lt;=0,0,'Range Analysis'!J30*MAX(0,1.04-EXP(0.38*LN('Range Analysis'!K30)-0.54))))-$A$313)/('Range Analysis'!J30/2),0,1,TRUE())-NORMDIST((-('Range Analysis'!$F$6-IF('Range Analysis'!K30&lt;=0,0,'Range Analysis'!J30*MAX(0,1.04-EXP(0.38*LN('Range Analysis'!K30)-0.54))))-$A$313)/('Range Analysis'!J30/2),0,1,TRUE()))</f>
        <v>4.5073845278185386E-2</v>
      </c>
      <c r="Q313">
        <f>NORMDIST($A$313,0,'Range Analysis'!$F$8,FALSE())*(NORMDIST(('Range Analysis'!$F$6-$A$313)/('Range Analysis'!J24/2),0,1,TRUE())-NORMDIST((-'Range Analysis'!$F$6-$A$313)/('Range Analysis'!J24/2),0,1,TRUE()))</f>
        <v>0.28893733357213452</v>
      </c>
      <c r="R313">
        <f>NORMDIST($A$313,0,'Range Analysis'!$F$8,FALSE())*(NORMDIST(('Range Analysis'!$F$6-$A$313)/('Range Analysis'!J25/2),0,1,TRUE())-NORMDIST((-'Range Analysis'!$F$6-$A$313)/('Range Analysis'!J25/2),0,1,TRUE()))</f>
        <v>0.34326063981960381</v>
      </c>
      <c r="S313">
        <f>NORMDIST($A$313,0,'Range Analysis'!$F$8,FALSE())*(NORMDIST(('Range Analysis'!$F$6-$A$313)/('Range Analysis'!J26/2),0,1,TRUE())-NORMDIST((-'Range Analysis'!$F$6-$A$313)/('Range Analysis'!J26/2),0,1,TRUE()))</f>
        <v>0.34326063981960381</v>
      </c>
      <c r="T313">
        <f>NORMDIST($A$313,0,'Range Analysis'!$F$8,FALSE())*(NORMDIST(('Range Analysis'!$F$6-$A$313)/('Range Analysis'!J27/2),0,1,TRUE())-NORMDIST((-'Range Analysis'!$F$6-$A$313)/('Range Analysis'!J27/2),0,1,TRUE()))</f>
        <v>0.36199851507161396</v>
      </c>
      <c r="U313">
        <f>NORMDIST($A$313,0,'Range Analysis'!$F$8,FALSE())*(NORMDIST(('Range Analysis'!$F$6-$A$313)/('Range Analysis'!J28/2),0,1,TRUE())-NORMDIST((-'Range Analysis'!$F$6-$A$313)/('Range Analysis'!J28/2),0,1,TRUE()))</f>
        <v>0.45589565597028198</v>
      </c>
      <c r="V313">
        <f>NORMDIST($A$313,0,'Range Analysis'!$F$8,FALSE())*(NORMDIST(('Range Analysis'!$F$6-$A$313)/('Range Analysis'!J29/2),0,1,TRUE())-NORMDIST((-'Range Analysis'!$F$6-$A$313)/('Range Analysis'!J29/2),0,1,TRUE()))</f>
        <v>0.25853031359103162</v>
      </c>
      <c r="W313">
        <f>NORMDIST($A$313,0,'Range Analysis'!$F$8,FALSE())*(NORMDIST((('Range Analysis'!$F$6-0)-$A$313)/('Range Analysis'!J30/2),0,1,TRUE())-NORMDIST((-('Range Analysis'!$F$6-0)-$A$313)/('Range Analysis'!J30/2),0,1,TRUE()))</f>
        <v>0.25014179753689403</v>
      </c>
    </row>
    <row r="314" spans="1:23" ht="15" customHeight="1" x14ac:dyDescent="0.25">
      <c r="A314">
        <f>-'Range Analysis'!$F$6+38*$B$275</f>
        <v>0.47435897435897434</v>
      </c>
      <c r="C314">
        <f>NORMDIST($A$314,0,'Range Analysis'!$F$8,FALSE())*(NORMDIST((('Range Analysis'!$F$6-0.98*'Range Analysis'!J24)-$A$314)/('Range Analysis'!J24/2),0,1,TRUE())-NORMDIST((-('Range Analysis'!$F$6-0.98*'Range Analysis'!J24)-$A$314)/('Range Analysis'!J24/2),0,1,TRUE()))</f>
        <v>1.4866182962835268E-2</v>
      </c>
      <c r="D314">
        <f>NORMDIST($A$314,0,'Range Analysis'!$F$8,FALSE())*(NORMDIST((('Range Analysis'!$F$6-0.98*'Range Analysis'!J25)-$A$314)/('Range Analysis'!J25/2),0,1,TRUE())-NORMDIST((-('Range Analysis'!$F$6-0.98*'Range Analysis'!J25)-$A$314)/('Range Analysis'!J25/2),0,1,TRUE()))</f>
        <v>2.1337338749124787E-2</v>
      </c>
      <c r="E314">
        <f>NORMDIST($A$314,0,'Range Analysis'!$F$8,FALSE())*(NORMDIST((('Range Analysis'!$F$6-0.98*'Range Analysis'!J26)-$A$314)/('Range Analysis'!J26/2),0,1,TRUE())-NORMDIST((-('Range Analysis'!$F$6-0.98*'Range Analysis'!J26)-$A$314)/('Range Analysis'!J26/2),0,1,TRUE()))</f>
        <v>2.1337338749124787E-2</v>
      </c>
      <c r="F314">
        <f>NORMDIST($A$314,0,'Range Analysis'!$F$8,FALSE())*(NORMDIST((('Range Analysis'!$F$6-0.98*'Range Analysis'!J27)-$A$314)/('Range Analysis'!J27/2),0,1,TRUE())-NORMDIST((-('Range Analysis'!$F$6-0.98*'Range Analysis'!J27)-$A$314)/('Range Analysis'!J27/2),0,1,TRUE()))</f>
        <v>2.4481531787832189E-2</v>
      </c>
      <c r="G314">
        <f>NORMDIST($A$314,0,'Range Analysis'!$F$8,FALSE())*(NORMDIST((('Range Analysis'!$F$6-0.98*'Range Analysis'!J28)-$A$314)/('Range Analysis'!J28/2),0,1,TRUE())-NORMDIST((-('Range Analysis'!$F$6-0.98*'Range Analysis'!J28)-$A$314)/('Range Analysis'!J28/2),0,1,TRUE()))</f>
        <v>0.40366562064355954</v>
      </c>
      <c r="H314">
        <f>NORMDIST($A$314,0,'Range Analysis'!$F$8,FALSE())*(NORMDIST((('Range Analysis'!$F$6-0.98*'Range Analysis'!J29)-$A$314)/('Range Analysis'!J29/2),0,1,TRUE())-NORMDIST((-('Range Analysis'!$F$6-0.98*'Range Analysis'!J29)-$A$314)/('Range Analysis'!J29/2),0,1,TRUE()))</f>
        <v>-2.7659420045011009E-2</v>
      </c>
      <c r="I314">
        <f>NORMDIST($A$314,0,'Range Analysis'!$F$8,FALSE())*(NORMDIST((('Range Analysis'!$F$6-0.98*'Range Analysis'!J30)-$A$314)/('Range Analysis'!J30/2),0,1,TRUE())-NORMDIST((-('Range Analysis'!$F$6-0.98*'Range Analysis'!J30)-$A$314)/('Range Analysis'!J30/2),0,1,TRUE()))</f>
        <v>-9.3872464063298078E-2</v>
      </c>
      <c r="J314">
        <f>NORMDIST($A$314,0,'Range Analysis'!$F$8,FALSE())*(NORMDIST((('Range Analysis'!$F$6-IF('Range Analysis'!K24&lt;=0,0,'Range Analysis'!J24*MAX(0,1.04-EXP(0.38*LN('Range Analysis'!K24)-0.54))))-$A$314)/('Range Analysis'!J24/2),0,1,TRUE())-NORMDIST((-('Range Analysis'!$F$6-IF('Range Analysis'!K24&lt;=0,0,'Range Analysis'!J24*MAX(0,1.04-EXP(0.38*LN('Range Analysis'!K24)-0.54))))-$A$314)/('Range Analysis'!J24/2),0,1,TRUE()))</f>
        <v>0.12551420433524896</v>
      </c>
      <c r="K314">
        <f>NORMDIST($A$314,0,'Range Analysis'!$F$8,FALSE())*(NORMDIST((('Range Analysis'!$F$6-IF('Range Analysis'!K25&lt;=0,0,'Range Analysis'!J25*MAX(0,1.04-EXP(0.38*LN('Range Analysis'!K25)-0.54))))-$A$314)/('Range Analysis'!J25/2),0,1,TRUE())-NORMDIST((-('Range Analysis'!$F$6-IF('Range Analysis'!K25&lt;=0,0,'Range Analysis'!J25*MAX(0,1.04-EXP(0.38*LN('Range Analysis'!K25)-0.54))))-$A$314)/('Range Analysis'!J25/2),0,1,TRUE()))</f>
        <v>0.21864171258726534</v>
      </c>
      <c r="L314">
        <f>NORMDIST($A$314,0,'Range Analysis'!$F$8,FALSE())*(NORMDIST((('Range Analysis'!$F$6-IF('Range Analysis'!K26&lt;=0,0,'Range Analysis'!J26*MAX(0,1.04-EXP(0.38*LN('Range Analysis'!K26)-0.54))))-$A$314)/('Range Analysis'!J26/2),0,1,TRUE())-NORMDIST((-('Range Analysis'!$F$6-IF('Range Analysis'!K26&lt;=0,0,'Range Analysis'!J26*MAX(0,1.04-EXP(0.38*LN('Range Analysis'!K26)-0.54))))-$A$314)/('Range Analysis'!J26/2),0,1,TRUE()))</f>
        <v>0.21864171258726534</v>
      </c>
      <c r="M314">
        <f>NORMDIST($A$314,0,'Range Analysis'!$F$8,FALSE())*(NORMDIST((('Range Analysis'!$F$6-IF('Range Analysis'!K27&lt;=0,0,'Range Analysis'!J27*MAX(0,1.04-EXP(0.38*LN('Range Analysis'!K27)-0.54))))-$A$314)/('Range Analysis'!J27/2),0,1,TRUE())-NORMDIST((-('Range Analysis'!$F$6-IF('Range Analysis'!K27&lt;=0,0,'Range Analysis'!J27*MAX(0,1.04-EXP(0.38*LN('Range Analysis'!K27)-0.54))))-$A$314)/('Range Analysis'!J27/2),0,1,TRUE()))</f>
        <v>0.25023907594544614</v>
      </c>
      <c r="N314">
        <f>NORMDIST($A$314,0,'Range Analysis'!$F$8,FALSE())*(NORMDIST((('Range Analysis'!$F$6-IF('Range Analysis'!K28&lt;=0,0,'Range Analysis'!J28*MAX(0,1.04-EXP(0.38*LN('Range Analysis'!K28)-0.54))))-$A$314)/('Range Analysis'!J28/2),0,1,TRUE())-NORMDIST((-('Range Analysis'!$F$6-IF('Range Analysis'!K28&lt;=0,0,'Range Analysis'!J28*MAX(0,1.04-EXP(0.38*LN('Range Analysis'!K28)-0.54))))-$A$314)/('Range Analysis'!J28/2),0,1,TRUE()))</f>
        <v>0.40397537689718321</v>
      </c>
      <c r="O314">
        <f>NORMDIST($A$314,0,'Range Analysis'!$F$8,FALSE())*(NORMDIST((('Range Analysis'!$F$6-IF('Range Analysis'!K29&lt;=0,0,'Range Analysis'!J29*MAX(0,1.04-EXP(0.38*LN('Range Analysis'!K29)-0.54))))-$A$314)/('Range Analysis'!J29/2),0,1,TRUE())-NORMDIST((-('Range Analysis'!$F$6-IF('Range Analysis'!K29&lt;=0,0,'Range Analysis'!J29*MAX(0,1.04-EXP(0.38*LN('Range Analysis'!K29)-0.54))))-$A$314)/('Range Analysis'!J29/2),0,1,TRUE()))</f>
        <v>6.8730326431832953E-2</v>
      </c>
      <c r="P314">
        <f>NORMDIST($A$314,0,'Range Analysis'!$F$8,FALSE())*(NORMDIST((('Range Analysis'!$F$6-IF('Range Analysis'!K30&lt;=0,0,'Range Analysis'!J30*MAX(0,1.04-EXP(0.38*LN('Range Analysis'!K30)-0.54))))-$A$314)/('Range Analysis'!J30/2),0,1,TRUE())-NORMDIST((-('Range Analysis'!$F$6-IF('Range Analysis'!K30&lt;=0,0,'Range Analysis'!J30*MAX(0,1.04-EXP(0.38*LN('Range Analysis'!K30)-0.54))))-$A$314)/('Range Analysis'!J30/2),0,1,TRUE()))</f>
        <v>3.6781608745063116E-2</v>
      </c>
      <c r="Q314">
        <f>NORMDIST($A$314,0,'Range Analysis'!$F$8,FALSE())*(NORMDIST(('Range Analysis'!$F$6-$A$314)/('Range Analysis'!J24/2),0,1,TRUE())-NORMDIST((-'Range Analysis'!$F$6-$A$314)/('Range Analysis'!J24/2),0,1,TRUE()))</f>
        <v>0.2294033473955264</v>
      </c>
      <c r="R314">
        <f>NORMDIST($A$314,0,'Range Analysis'!$F$8,FALSE())*(NORMDIST(('Range Analysis'!$F$6-$A$314)/('Range Analysis'!J25/2),0,1,TRUE())-NORMDIST((-'Range Analysis'!$F$6-$A$314)/('Range Analysis'!J25/2),0,1,TRUE()))</f>
        <v>0.25603136111541036</v>
      </c>
      <c r="S314">
        <f>NORMDIST($A$314,0,'Range Analysis'!$F$8,FALSE())*(NORMDIST(('Range Analysis'!$F$6-$A$314)/('Range Analysis'!J26/2),0,1,TRUE())-NORMDIST((-'Range Analysis'!$F$6-$A$314)/('Range Analysis'!J26/2),0,1,TRUE()))</f>
        <v>0.25603136111541036</v>
      </c>
      <c r="T314">
        <f>NORMDIST($A$314,0,'Range Analysis'!$F$8,FALSE())*(NORMDIST(('Range Analysis'!$F$6-$A$314)/('Range Analysis'!J27/2),0,1,TRUE())-NORMDIST((-'Range Analysis'!$F$6-$A$314)/('Range Analysis'!J27/2),0,1,TRUE()))</f>
        <v>0.26629699903567944</v>
      </c>
      <c r="U314">
        <f>NORMDIST($A$314,0,'Range Analysis'!$F$8,FALSE())*(NORMDIST(('Range Analysis'!$F$6-$A$314)/('Range Analysis'!J28/2),0,1,TRUE())-NORMDIST((-'Range Analysis'!$F$6-$A$314)/('Range Analysis'!J28/2),0,1,TRUE()))</f>
        <v>0.40397537689718321</v>
      </c>
      <c r="V314">
        <f>NORMDIST($A$314,0,'Range Analysis'!$F$8,FALSE())*(NORMDIST(('Range Analysis'!$F$6-$A$314)/('Range Analysis'!J29/2),0,1,TRUE())-NORMDIST((-'Range Analysis'!$F$6-$A$314)/('Range Analysis'!J29/2),0,1,TRUE()))</f>
        <v>0.21551070922674342</v>
      </c>
      <c r="W314">
        <f>NORMDIST($A$314,0,'Range Analysis'!$F$8,FALSE())*(NORMDIST((('Range Analysis'!$F$6-0)-$A$314)/('Range Analysis'!J30/2),0,1,TRUE())-NORMDIST((-('Range Analysis'!$F$6-0)-$A$314)/('Range Analysis'!J30/2),0,1,TRUE()))</f>
        <v>0.2111064153887395</v>
      </c>
    </row>
    <row r="315" spans="1:23" ht="15" customHeight="1" x14ac:dyDescent="0.25">
      <c r="A315">
        <f>-'Range Analysis'!$F$6+39*$B$275</f>
        <v>0.5</v>
      </c>
      <c r="C315">
        <f>NORMDIST($A$315,0,'Range Analysis'!$F$8,FALSE())*(NORMDIST((('Range Analysis'!$F$6-0.98*'Range Analysis'!J24)-$A$315)/('Range Analysis'!J24/2),0,1,TRUE())-NORMDIST((-('Range Analysis'!$F$6-0.98*'Range Analysis'!J24)-$A$315)/('Range Analysis'!J24/2),0,1,TRUE()))</f>
        <v>8.8880969158055493E-3</v>
      </c>
      <c r="D315">
        <f>NORMDIST($A$315,0,'Range Analysis'!$F$8,FALSE())*(NORMDIST((('Range Analysis'!$F$6-0.98*'Range Analysis'!J25)-$A$315)/('Range Analysis'!J25/2),0,1,TRUE())-NORMDIST((-('Range Analysis'!$F$6-0.98*'Range Analysis'!J25)-$A$315)/('Range Analysis'!J25/2),0,1,TRUE()))</f>
        <v>8.8885445808354283E-3</v>
      </c>
      <c r="E315">
        <f>NORMDIST($A$315,0,'Range Analysis'!$F$8,FALSE())*(NORMDIST((('Range Analysis'!$F$6-0.98*'Range Analysis'!J26)-$A$315)/('Range Analysis'!J26/2),0,1,TRUE())-NORMDIST((-('Range Analysis'!$F$6-0.98*'Range Analysis'!J26)-$A$315)/('Range Analysis'!J26/2),0,1,TRUE()))</f>
        <v>8.8885445808354283E-3</v>
      </c>
      <c r="F315">
        <f>NORMDIST($A$315,0,'Range Analysis'!$F$8,FALSE())*(NORMDIST((('Range Analysis'!$F$6-0.98*'Range Analysis'!J27)-$A$315)/('Range Analysis'!J27/2),0,1,TRUE())-NORMDIST((-('Range Analysis'!$F$6-0.98*'Range Analysis'!J27)-$A$315)/('Range Analysis'!J27/2),0,1,TRUE()))</f>
        <v>8.8885445808354387E-3</v>
      </c>
      <c r="G315">
        <f>NORMDIST($A$315,0,'Range Analysis'!$F$8,FALSE())*(NORMDIST((('Range Analysis'!$F$6-0.98*'Range Analysis'!J28)-$A$315)/('Range Analysis'!J28/2),0,1,TRUE())-NORMDIST((-('Range Analysis'!$F$6-0.98*'Range Analysis'!J28)-$A$315)/('Range Analysis'!J28/2),0,1,TRUE()))</f>
        <v>8.8885445808355376E-3</v>
      </c>
      <c r="H315">
        <f>NORMDIST($A$315,0,'Range Analysis'!$F$8,FALSE())*(NORMDIST((('Range Analysis'!$F$6-0.98*'Range Analysis'!J29)-$A$315)/('Range Analysis'!J29/2),0,1,TRUE())-NORMDIST((-('Range Analysis'!$F$6-0.98*'Range Analysis'!J29)-$A$315)/('Range Analysis'!J29/2),0,1,TRUE()))</f>
        <v>-2.127260338537186E-2</v>
      </c>
      <c r="I315">
        <f>NORMDIST($A$315,0,'Range Analysis'!$F$8,FALSE())*(NORMDIST((('Range Analysis'!$F$6-0.98*'Range Analysis'!J30)-$A$315)/('Range Analysis'!J30/2),0,1,TRUE())-NORMDIST((-('Range Analysis'!$F$6-0.98*'Range Analysis'!J30)-$A$315)/('Range Analysis'!J30/2),0,1,TRUE()))</f>
        <v>-7.6408426252710021E-2</v>
      </c>
      <c r="J315">
        <f>NORMDIST($A$315,0,'Range Analysis'!$F$8,FALSE())*(NORMDIST((('Range Analysis'!$F$6-IF('Range Analysis'!K24&lt;=0,0,'Range Analysis'!J24*MAX(0,1.04-EXP(0.38*LN('Range Analysis'!K24)-0.54))))-$A$315)/('Range Analysis'!J24/2),0,1,TRUE())-NORMDIST((-('Range Analysis'!$F$6-IF('Range Analysis'!K24&lt;=0,0,'Range Analysis'!J24*MAX(0,1.04-EXP(0.38*LN('Range Analysis'!K24)-0.54))))-$A$315)/('Range Analysis'!J24/2),0,1,TRUE()))</f>
        <v>8.9989765091656293E-2</v>
      </c>
      <c r="K315">
        <f>NORMDIST($A$315,0,'Range Analysis'!$F$8,FALSE())*(NORMDIST((('Range Analysis'!$F$6-IF('Range Analysis'!K25&lt;=0,0,'Range Analysis'!J25*MAX(0,1.04-EXP(0.38*LN('Range Analysis'!K25)-0.54))))-$A$315)/('Range Analysis'!J25/2),0,1,TRUE())-NORMDIST((-('Range Analysis'!$F$6-IF('Range Analysis'!K25&lt;=0,0,'Range Analysis'!J25*MAX(0,1.04-EXP(0.38*LN('Range Analysis'!K25)-0.54))))-$A$315)/('Range Analysis'!J25/2),0,1,TRUE()))</f>
        <v>0.14429143312418896</v>
      </c>
      <c r="L315">
        <f>NORMDIST($A$315,0,'Range Analysis'!$F$8,FALSE())*(NORMDIST((('Range Analysis'!$F$6-IF('Range Analysis'!K26&lt;=0,0,'Range Analysis'!J26*MAX(0,1.04-EXP(0.38*LN('Range Analysis'!K26)-0.54))))-$A$315)/('Range Analysis'!J26/2),0,1,TRUE())-NORMDIST((-('Range Analysis'!$F$6-IF('Range Analysis'!K26&lt;=0,0,'Range Analysis'!J26*MAX(0,1.04-EXP(0.38*LN('Range Analysis'!K26)-0.54))))-$A$315)/('Range Analysis'!J26/2),0,1,TRUE()))</f>
        <v>0.14429143312418896</v>
      </c>
      <c r="M315">
        <f>NORMDIST($A$315,0,'Range Analysis'!$F$8,FALSE())*(NORMDIST((('Range Analysis'!$F$6-IF('Range Analysis'!K27&lt;=0,0,'Range Analysis'!J27*MAX(0,1.04-EXP(0.38*LN('Range Analysis'!K27)-0.54))))-$A$315)/('Range Analysis'!J27/2),0,1,TRUE())-NORMDIST((-('Range Analysis'!$F$6-IF('Range Analysis'!K27&lt;=0,0,'Range Analysis'!J27*MAX(0,1.04-EXP(0.38*LN('Range Analysis'!K27)-0.54))))-$A$315)/('Range Analysis'!J27/2),0,1,TRUE()))</f>
        <v>0.16274337635510264</v>
      </c>
      <c r="N315">
        <f>NORMDIST($A$315,0,'Range Analysis'!$F$8,FALSE())*(NORMDIST((('Range Analysis'!$F$6-IF('Range Analysis'!K28&lt;=0,0,'Range Analysis'!J28*MAX(0,1.04-EXP(0.38*LN('Range Analysis'!K28)-0.54))))-$A$315)/('Range Analysis'!J28/2),0,1,TRUE())-NORMDIST((-('Range Analysis'!$F$6-IF('Range Analysis'!K28&lt;=0,0,'Range Analysis'!J28*MAX(0,1.04-EXP(0.38*LN('Range Analysis'!K28)-0.54))))-$A$315)/('Range Analysis'!J28/2),0,1,TRUE()))</f>
        <v>0.17778586013207201</v>
      </c>
      <c r="O315">
        <f>NORMDIST($A$315,0,'Range Analysis'!$F$8,FALSE())*(NORMDIST((('Range Analysis'!$F$6-IF('Range Analysis'!K29&lt;=0,0,'Range Analysis'!J29*MAX(0,1.04-EXP(0.38*LN('Range Analysis'!K29)-0.54))))-$A$315)/('Range Analysis'!J29/2),0,1,TRUE())-NORMDIST((-('Range Analysis'!$F$6-IF('Range Analysis'!K29&lt;=0,0,'Range Analysis'!J29*MAX(0,1.04-EXP(0.38*LN('Range Analysis'!K29)-0.54))))-$A$315)/('Range Analysis'!J29/2),0,1,TRUE()))</f>
        <v>5.3638572657752917E-2</v>
      </c>
      <c r="P315">
        <f>NORMDIST($A$315,0,'Range Analysis'!$F$8,FALSE())*(NORMDIST((('Range Analysis'!$F$6-IF('Range Analysis'!K30&lt;=0,0,'Range Analysis'!J30*MAX(0,1.04-EXP(0.38*LN('Range Analysis'!K30)-0.54))))-$A$315)/('Range Analysis'!J30/2),0,1,TRUE())-NORMDIST((-('Range Analysis'!$F$6-IF('Range Analysis'!K30&lt;=0,0,'Range Analysis'!J30*MAX(0,1.04-EXP(0.38*LN('Range Analysis'!K30)-0.54))))-$A$315)/('Range Analysis'!J30/2),0,1,TRUE()))</f>
        <v>2.9677754556908846E-2</v>
      </c>
      <c r="Q315">
        <f>NORMDIST($A$315,0,'Range Analysis'!$F$8,FALSE())*(NORMDIST(('Range Analysis'!$F$6-$A$315)/('Range Analysis'!J24/2),0,1,TRUE())-NORMDIST((-'Range Analysis'!$F$6-$A$315)/('Range Analysis'!J24/2),0,1,TRUE()))</f>
        <v>0.17778586012741973</v>
      </c>
      <c r="R315">
        <f>NORMDIST($A$315,0,'Range Analysis'!$F$8,FALSE())*(NORMDIST(('Range Analysis'!$F$6-$A$315)/('Range Analysis'!J25/2),0,1,TRUE())-NORMDIST((-'Range Analysis'!$F$6-$A$315)/('Range Analysis'!J25/2),0,1,TRUE()))</f>
        <v>0.17778586013207201</v>
      </c>
      <c r="S315">
        <f>NORMDIST($A$315,0,'Range Analysis'!$F$8,FALSE())*(NORMDIST(('Range Analysis'!$F$6-$A$315)/('Range Analysis'!J26/2),0,1,TRUE())-NORMDIST((-'Range Analysis'!$F$6-$A$315)/('Range Analysis'!J26/2),0,1,TRUE()))</f>
        <v>0.17778586013207201</v>
      </c>
      <c r="T315">
        <f>NORMDIST($A$315,0,'Range Analysis'!$F$8,FALSE())*(NORMDIST(('Range Analysis'!$F$6-$A$315)/('Range Analysis'!J27/2),0,1,TRUE())-NORMDIST((-'Range Analysis'!$F$6-$A$315)/('Range Analysis'!J27/2),0,1,TRUE()))</f>
        <v>0.17778586013207201</v>
      </c>
      <c r="U315">
        <f>NORMDIST($A$315,0,'Range Analysis'!$F$8,FALSE())*(NORMDIST(('Range Analysis'!$F$6-$A$315)/('Range Analysis'!J28/2),0,1,TRUE())-NORMDIST((-'Range Analysis'!$F$6-$A$315)/('Range Analysis'!J28/2),0,1,TRUE()))</f>
        <v>0.17778586013207201</v>
      </c>
      <c r="V315">
        <f>NORMDIST($A$315,0,'Range Analysis'!$F$8,FALSE())*(NORMDIST(('Range Analysis'!$F$6-$A$315)/('Range Analysis'!J29/2),0,1,TRUE())-NORMDIST((-'Range Analysis'!$F$6-$A$315)/('Range Analysis'!J29/2),0,1,TRUE()))</f>
        <v>0.1776332984113001</v>
      </c>
      <c r="W315">
        <f>NORMDIST($A$315,0,'Range Analysis'!$F$8,FALSE())*(NORMDIST((('Range Analysis'!$F$6-0)-$A$315)/('Range Analysis'!J30/2),0,1,TRUE())-NORMDIST((-('Range Analysis'!$F$6-0)-$A$315)/('Range Analysis'!J30/2),0,1,TRUE()))</f>
        <v>0.17642388512438778</v>
      </c>
    </row>
    <row r="316" spans="1:23" ht="15" customHeight="1" x14ac:dyDescent="0.25">
      <c r="C316">
        <f t="shared" ref="C316:W316" si="190">$B$275*(C276/2+SUM(C277:C314)+C315/2)</f>
        <v>0.4465108818824487</v>
      </c>
      <c r="D316">
        <f t="shared" si="190"/>
        <v>0.72698414164179603</v>
      </c>
      <c r="E316">
        <f t="shared" si="190"/>
        <v>0.72698414164179603</v>
      </c>
      <c r="F316">
        <f t="shared" si="190"/>
        <v>0.7628743798571932</v>
      </c>
      <c r="G316">
        <f t="shared" si="190"/>
        <v>0.88089575225284089</v>
      </c>
      <c r="H316">
        <f t="shared" si="190"/>
        <v>-0.15733621920328481</v>
      </c>
      <c r="I316">
        <f t="shared" si="190"/>
        <v>-0.35387760333388601</v>
      </c>
      <c r="J316">
        <f t="shared" si="190"/>
        <v>0.74002465652595029</v>
      </c>
      <c r="K316">
        <f t="shared" si="190"/>
        <v>0.85324791358150753</v>
      </c>
      <c r="L316">
        <f t="shared" si="190"/>
        <v>0.85324791358150753</v>
      </c>
      <c r="M316">
        <f t="shared" si="190"/>
        <v>0.8648664321846028</v>
      </c>
      <c r="N316">
        <f t="shared" si="190"/>
        <v>0.88524233758767379</v>
      </c>
      <c r="O316">
        <f t="shared" si="190"/>
        <v>0.34982039948503513</v>
      </c>
      <c r="P316">
        <f t="shared" si="190"/>
        <v>0.14777438977533638</v>
      </c>
      <c r="Q316">
        <f t="shared" si="190"/>
        <v>0.8231780261863042</v>
      </c>
      <c r="R316">
        <f t="shared" si="190"/>
        <v>0.86273464603927519</v>
      </c>
      <c r="S316">
        <f t="shared" si="190"/>
        <v>0.86273464603927519</v>
      </c>
      <c r="T316">
        <f t="shared" si="190"/>
        <v>0.86803271443021524</v>
      </c>
      <c r="U316">
        <f t="shared" si="190"/>
        <v>0.88524233758767379</v>
      </c>
      <c r="V316">
        <f t="shared" si="190"/>
        <v>0.71345174701095504</v>
      </c>
      <c r="W316">
        <f t="shared" si="190"/>
        <v>0.65347845027437634</v>
      </c>
    </row>
    <row r="317" spans="1:23" ht="15" customHeight="1" x14ac:dyDescent="0.25">
      <c r="C317" s="128">
        <f>'Range Analysis'!$B$9-C316</f>
        <v>0.44348911811755132</v>
      </c>
      <c r="D317" s="128">
        <f>'Range Analysis'!$B$9-D316</f>
        <v>0.16301585835820398</v>
      </c>
      <c r="E317" s="128">
        <f>'Range Analysis'!$B$9-E316</f>
        <v>0.16301585835820398</v>
      </c>
      <c r="F317" s="128">
        <f>'Range Analysis'!$B$9-F316</f>
        <v>0.12712562014280682</v>
      </c>
      <c r="G317" s="128">
        <f>'Range Analysis'!$B$9-G316</f>
        <v>9.1042477471591221E-3</v>
      </c>
      <c r="H317" s="128">
        <f>'Range Analysis'!$B$9-H316</f>
        <v>1.0473362192032849</v>
      </c>
      <c r="I317" s="128">
        <f>'Range Analysis'!$B$9-I316</f>
        <v>1.2438776033338861</v>
      </c>
      <c r="J317" s="128">
        <f>'Range Analysis'!$B$9-J316</f>
        <v>0.14997534347404973</v>
      </c>
      <c r="K317" s="128">
        <f>'Range Analysis'!$B$9-K316</f>
        <v>3.675208641849248E-2</v>
      </c>
      <c r="L317" s="128">
        <f>'Range Analysis'!$B$9-L316</f>
        <v>3.675208641849248E-2</v>
      </c>
      <c r="M317" s="128">
        <f>'Range Analysis'!$B$9-M316</f>
        <v>2.5133567815397218E-2</v>
      </c>
      <c r="N317" s="128">
        <f>'Range Analysis'!$B$9-N316</f>
        <v>4.7576624123262246E-3</v>
      </c>
      <c r="O317" s="128">
        <f>'Range Analysis'!$B$9-O316</f>
        <v>0.54017960051496483</v>
      </c>
      <c r="P317" s="128">
        <f>'Range Analysis'!$B$9-P316</f>
        <v>0.7422256102246636</v>
      </c>
      <c r="Q317" s="128">
        <f>'Range Analysis'!$B$9-Q316</f>
        <v>6.6821973813695812E-2</v>
      </c>
      <c r="R317" s="128">
        <f>'Range Analysis'!$B$9-R316</f>
        <v>2.7265353960724825E-2</v>
      </c>
      <c r="S317" s="128">
        <f>'Range Analysis'!$B$9-S316</f>
        <v>2.7265353960724825E-2</v>
      </c>
      <c r="T317" s="128">
        <f>'Range Analysis'!$B$9-T316</f>
        <v>2.1967285569784778E-2</v>
      </c>
      <c r="U317" s="128">
        <f>'Range Analysis'!$B$9-U316</f>
        <v>4.7576624123262246E-3</v>
      </c>
      <c r="V317" s="128">
        <f>'Range Analysis'!$B$9-V316</f>
        <v>0.17654825298904497</v>
      </c>
      <c r="W317" s="128">
        <f>'Range Analysis'!$B$9-W316</f>
        <v>0.23652154972562367</v>
      </c>
    </row>
    <row r="318" spans="1:23" ht="15" customHeight="1" x14ac:dyDescent="0.25"/>
    <row r="319" spans="1:23" ht="15" customHeight="1" x14ac:dyDescent="0.25"/>
    <row r="320" spans="1:23" ht="15" customHeight="1" x14ac:dyDescent="0.25">
      <c r="A320" t="s">
        <v>538</v>
      </c>
      <c r="B320">
        <f>4*'Range Analysis'!F7/29</f>
        <v>0.17260871797937985</v>
      </c>
    </row>
    <row r="321" spans="2:2" ht="15" customHeight="1" x14ac:dyDescent="0.25">
      <c r="B321">
        <f>'Range Analysis'!$F$5+(0.5+0)*$B$320</f>
        <v>2.0863043589896901</v>
      </c>
    </row>
    <row r="322" spans="2:2" ht="15" customHeight="1" x14ac:dyDescent="0.25">
      <c r="B322">
        <f>'Range Analysis'!$F$5+(0.5+1)*$B$320</f>
        <v>2.25891307696907</v>
      </c>
    </row>
    <row r="323" spans="2:2" ht="15" customHeight="1" x14ac:dyDescent="0.25">
      <c r="B323">
        <f>'Range Analysis'!$F$5+(0.5+2)*$B$320</f>
        <v>2.4315217949484498</v>
      </c>
    </row>
    <row r="324" spans="2:2" ht="15" customHeight="1" x14ac:dyDescent="0.25">
      <c r="B324">
        <f>'Range Analysis'!$F$5+(0.5+3)*$B$320</f>
        <v>2.6041305129278296</v>
      </c>
    </row>
    <row r="325" spans="2:2" ht="15" customHeight="1" x14ac:dyDescent="0.25">
      <c r="B325">
        <f>'Range Analysis'!$F$5+(0.5+4)*$B$320</f>
        <v>2.7767392309072094</v>
      </c>
    </row>
    <row r="326" spans="2:2" ht="15" customHeight="1" x14ac:dyDescent="0.25">
      <c r="B326">
        <f>'Range Analysis'!$F$5+(0.5+5)*$B$320</f>
        <v>2.9493479488865892</v>
      </c>
    </row>
    <row r="327" spans="2:2" ht="15" customHeight="1" x14ac:dyDescent="0.25">
      <c r="B327">
        <f>'Range Analysis'!$F$5+(0.5+6)*$B$320</f>
        <v>3.1219566668659691</v>
      </c>
    </row>
    <row r="328" spans="2:2" ht="15" customHeight="1" x14ac:dyDescent="0.25">
      <c r="B328">
        <f>'Range Analysis'!$F$5+(0.5+7)*$B$320</f>
        <v>3.2945653848453489</v>
      </c>
    </row>
    <row r="329" spans="2:2" ht="15" customHeight="1" x14ac:dyDescent="0.25">
      <c r="B329">
        <f>'Range Analysis'!$F$5+(0.5+8)*$B$320</f>
        <v>3.4671741028247287</v>
      </c>
    </row>
    <row r="330" spans="2:2" ht="15" customHeight="1" x14ac:dyDescent="0.25">
      <c r="B330">
        <f>'Range Analysis'!$F$5+(0.5+9)*$B$320</f>
        <v>3.6397828208041085</v>
      </c>
    </row>
    <row r="331" spans="2:2" ht="15" customHeight="1" x14ac:dyDescent="0.25">
      <c r="B331">
        <f>'Range Analysis'!$F$5+(0.5+10)*$B$320</f>
        <v>3.8123915387834884</v>
      </c>
    </row>
    <row r="332" spans="2:2" ht="15" customHeight="1" x14ac:dyDescent="0.25">
      <c r="B332">
        <f>'Range Analysis'!$F$5+(0.5+11)*$B$320</f>
        <v>3.9850002567628682</v>
      </c>
    </row>
    <row r="333" spans="2:2" ht="15" customHeight="1" x14ac:dyDescent="0.25">
      <c r="B333">
        <f>'Range Analysis'!$F$5+(0.5+12)*$B$320</f>
        <v>4.1576089747422476</v>
      </c>
    </row>
    <row r="334" spans="2:2" ht="15" customHeight="1" x14ac:dyDescent="0.25">
      <c r="B334">
        <f>'Range Analysis'!$F$5+(0.5+13)*$B$320</f>
        <v>4.3302176927216278</v>
      </c>
    </row>
    <row r="335" spans="2:2" ht="15" customHeight="1" x14ac:dyDescent="0.25">
      <c r="B335">
        <f>'Range Analysis'!$F$5+(0.5+14)*$B$320</f>
        <v>4.5028264107010081</v>
      </c>
    </row>
    <row r="336" spans="2:2" ht="15" customHeight="1" x14ac:dyDescent="0.25">
      <c r="B336">
        <f>'Range Analysis'!$F$5+(0.5+15)*$B$320</f>
        <v>4.6754351286803875</v>
      </c>
    </row>
    <row r="337" spans="2:2" ht="15" customHeight="1" x14ac:dyDescent="0.25">
      <c r="B337">
        <f>'Range Analysis'!$F$5+(0.5+16)*$B$320</f>
        <v>4.8480438466597677</v>
      </c>
    </row>
    <row r="338" spans="2:2" ht="15" customHeight="1" x14ac:dyDescent="0.25">
      <c r="B338">
        <f>'Range Analysis'!$F$5+(0.5+17)*$B$320</f>
        <v>5.020652564639148</v>
      </c>
    </row>
    <row r="339" spans="2:2" ht="15" customHeight="1" x14ac:dyDescent="0.25">
      <c r="B339">
        <f>'Range Analysis'!$F$5+(0.5+18)*$B$320</f>
        <v>5.1932612826185274</v>
      </c>
    </row>
    <row r="340" spans="2:2" ht="15" customHeight="1" x14ac:dyDescent="0.25">
      <c r="B340">
        <f>'Range Analysis'!$F$5+(0.5+19)*$B$320</f>
        <v>5.3658700005979068</v>
      </c>
    </row>
    <row r="341" spans="2:2" ht="15" customHeight="1" x14ac:dyDescent="0.25">
      <c r="B341">
        <f>'Range Analysis'!$F$5+(0.5+20)*$B$320</f>
        <v>5.538478718577287</v>
      </c>
    </row>
    <row r="342" spans="2:2" ht="15" customHeight="1" x14ac:dyDescent="0.25">
      <c r="B342">
        <f>'Range Analysis'!$F$5+(0.5+21)*$B$320</f>
        <v>5.7110874365566673</v>
      </c>
    </row>
    <row r="343" spans="2:2" ht="15" customHeight="1" x14ac:dyDescent="0.25">
      <c r="B343">
        <f>'Range Analysis'!$F$5+(0.5+22)*$B$320</f>
        <v>5.8836961545360467</v>
      </c>
    </row>
    <row r="344" spans="2:2" ht="15" customHeight="1" x14ac:dyDescent="0.25">
      <c r="B344">
        <f>'Range Analysis'!$F$5+(0.5+23)*$B$320</f>
        <v>6.056304872515426</v>
      </c>
    </row>
    <row r="345" spans="2:2" ht="15" customHeight="1" x14ac:dyDescent="0.25">
      <c r="B345">
        <f>'Range Analysis'!$F$5+(0.5+24)*$B$320</f>
        <v>6.2289135904948063</v>
      </c>
    </row>
    <row r="346" spans="2:2" ht="15" customHeight="1" x14ac:dyDescent="0.25">
      <c r="B346">
        <f>'Range Analysis'!$F$5+(0.5+25)*$B$320</f>
        <v>6.4015223084741866</v>
      </c>
    </row>
    <row r="347" spans="2:2" ht="15" customHeight="1" x14ac:dyDescent="0.25">
      <c r="B347">
        <f>'Range Analysis'!$F$5+(0.5+26)*$B$320</f>
        <v>6.574131026453566</v>
      </c>
    </row>
    <row r="348" spans="2:2" ht="15" customHeight="1" x14ac:dyDescent="0.25">
      <c r="B348">
        <f>'Range Analysis'!$F$5+(0.5+27)*$B$320</f>
        <v>6.7467397444329462</v>
      </c>
    </row>
    <row r="349" spans="2:2" ht="15" customHeight="1" x14ac:dyDescent="0.25">
      <c r="B349">
        <f>'Range Analysis'!$F$5+(0.5+28)*$B$320</f>
        <v>6.9193484624123256</v>
      </c>
    </row>
    <row r="350" spans="2:2" ht="15" customHeight="1" x14ac:dyDescent="0.25">
      <c r="B350">
        <f>'Range Analysis'!$F$5+(0.5+29)*$B$320</f>
        <v>7.0919571803917059</v>
      </c>
    </row>
    <row r="351" spans="2:2" ht="15" customHeight="1" x14ac:dyDescent="0.25"/>
    <row r="352" spans="2:2" ht="15" customHeight="1" x14ac:dyDescent="0.25"/>
    <row r="353" spans="1:2" ht="15" customHeight="1" x14ac:dyDescent="0.25"/>
    <row r="354" spans="1:2" ht="15" customHeight="1" x14ac:dyDescent="0.25"/>
    <row r="355" spans="1:2" ht="15" customHeight="1" x14ac:dyDescent="0.25">
      <c r="A355" t="s">
        <v>539</v>
      </c>
      <c r="B355">
        <f>4*'Range Analysis'!F8/29</f>
        <v>4.3152179494844962E-2</v>
      </c>
    </row>
    <row r="356" spans="1:2" ht="15" customHeight="1" x14ac:dyDescent="0.25">
      <c r="B356">
        <f>'Range Analysis'!$F$6+(0.5+0)*$B$355</f>
        <v>0.52157608974742253</v>
      </c>
    </row>
    <row r="357" spans="1:2" ht="15" customHeight="1" x14ac:dyDescent="0.25">
      <c r="B357">
        <f>'Range Analysis'!$F$6+(0.5+1)*$B$355</f>
        <v>0.56472826924226749</v>
      </c>
    </row>
    <row r="358" spans="1:2" ht="15" customHeight="1" x14ac:dyDescent="0.25">
      <c r="B358">
        <f>'Range Analysis'!$F$6+(0.5+2)*$B$355</f>
        <v>0.60788044873711244</v>
      </c>
    </row>
    <row r="359" spans="1:2" ht="15" customHeight="1" x14ac:dyDescent="0.25">
      <c r="B359">
        <f>'Range Analysis'!$F$6+(0.5+3)*$B$355</f>
        <v>0.6510326282319574</v>
      </c>
    </row>
    <row r="360" spans="1:2" ht="15" customHeight="1" x14ac:dyDescent="0.25">
      <c r="B360">
        <f>'Range Analysis'!$F$6+(0.5+4)*$B$355</f>
        <v>0.69418480772680236</v>
      </c>
    </row>
    <row r="361" spans="1:2" ht="15" customHeight="1" x14ac:dyDescent="0.25">
      <c r="B361">
        <f>'Range Analysis'!$F$6+(0.5+5)*$B$355</f>
        <v>0.73733698722164731</v>
      </c>
    </row>
    <row r="362" spans="1:2" ht="15" customHeight="1" x14ac:dyDescent="0.25">
      <c r="B362">
        <f>'Range Analysis'!$F$6+(0.5+6)*$B$355</f>
        <v>0.78048916671649227</v>
      </c>
    </row>
    <row r="363" spans="1:2" ht="15" customHeight="1" x14ac:dyDescent="0.25">
      <c r="B363">
        <f>'Range Analysis'!$F$6+(0.5+7)*$B$355</f>
        <v>0.82364134621133722</v>
      </c>
    </row>
    <row r="364" spans="1:2" ht="15" customHeight="1" x14ac:dyDescent="0.25">
      <c r="B364">
        <f>'Range Analysis'!$F$6+(0.5+8)*$B$355</f>
        <v>0.86679352570618218</v>
      </c>
    </row>
    <row r="365" spans="1:2" ht="15" customHeight="1" x14ac:dyDescent="0.25">
      <c r="B365">
        <f>'Range Analysis'!$F$6+(0.5+9)*$B$355</f>
        <v>0.90994570520102713</v>
      </c>
    </row>
    <row r="366" spans="1:2" ht="15" customHeight="1" x14ac:dyDescent="0.25">
      <c r="B366">
        <f>'Range Analysis'!$F$6+(0.5+10)*$B$355</f>
        <v>0.95309788469587209</v>
      </c>
    </row>
    <row r="367" spans="1:2" ht="15" customHeight="1" x14ac:dyDescent="0.25">
      <c r="B367">
        <f>'Range Analysis'!$F$6+(0.5+11)*$B$355</f>
        <v>0.99625006419071704</v>
      </c>
    </row>
    <row r="368" spans="1:2" ht="15" customHeight="1" x14ac:dyDescent="0.25">
      <c r="B368">
        <f>'Range Analysis'!$F$6+(0.5+12)*$B$355</f>
        <v>1.0394022436855619</v>
      </c>
    </row>
    <row r="369" spans="2:2" ht="15" customHeight="1" x14ac:dyDescent="0.25">
      <c r="B369">
        <f>'Range Analysis'!$F$6+(0.5+13)*$B$355</f>
        <v>1.082554423180407</v>
      </c>
    </row>
    <row r="370" spans="2:2" ht="15" customHeight="1" x14ac:dyDescent="0.25">
      <c r="B370">
        <f>'Range Analysis'!$F$6+(0.5+14)*$B$355</f>
        <v>1.125706602675252</v>
      </c>
    </row>
    <row r="371" spans="2:2" ht="15" customHeight="1" x14ac:dyDescent="0.25">
      <c r="B371">
        <f>'Range Analysis'!$F$6+(0.5+15)*$B$355</f>
        <v>1.1688587821700969</v>
      </c>
    </row>
    <row r="372" spans="2:2" ht="15" customHeight="1" x14ac:dyDescent="0.25">
      <c r="B372">
        <f>'Range Analysis'!$F$6+(0.5+16)*$B$355</f>
        <v>1.2120109616649419</v>
      </c>
    </row>
    <row r="373" spans="2:2" ht="15" customHeight="1" x14ac:dyDescent="0.25">
      <c r="B373">
        <f>'Range Analysis'!$F$6+(0.5+17)*$B$355</f>
        <v>1.255163141159787</v>
      </c>
    </row>
    <row r="374" spans="2:2" ht="15" customHeight="1" x14ac:dyDescent="0.25">
      <c r="B374">
        <f>'Range Analysis'!$F$6+(0.5+18)*$B$355</f>
        <v>1.2983153206546318</v>
      </c>
    </row>
    <row r="375" spans="2:2" ht="15" customHeight="1" x14ac:dyDescent="0.25">
      <c r="B375">
        <f>'Range Analysis'!$F$6+(0.5+19)*$B$355</f>
        <v>1.3414675001494767</v>
      </c>
    </row>
    <row r="376" spans="2:2" ht="15" customHeight="1" x14ac:dyDescent="0.25">
      <c r="B376">
        <f>'Range Analysis'!$F$6+(0.5+20)*$B$355</f>
        <v>1.3846196796443218</v>
      </c>
    </row>
    <row r="377" spans="2:2" ht="15" customHeight="1" x14ac:dyDescent="0.25">
      <c r="B377">
        <f>'Range Analysis'!$F$6+(0.5+21)*$B$355</f>
        <v>1.4277718591391668</v>
      </c>
    </row>
    <row r="378" spans="2:2" ht="15" customHeight="1" x14ac:dyDescent="0.25">
      <c r="B378">
        <f>'Range Analysis'!$F$6+(0.5+22)*$B$355</f>
        <v>1.4709240386340117</v>
      </c>
    </row>
    <row r="379" spans="2:2" ht="15" customHeight="1" x14ac:dyDescent="0.25">
      <c r="B379">
        <f>'Range Analysis'!$F$6+(0.5+23)*$B$355</f>
        <v>1.5140762181288565</v>
      </c>
    </row>
    <row r="380" spans="2:2" ht="15" customHeight="1" x14ac:dyDescent="0.25">
      <c r="B380">
        <f>'Range Analysis'!$F$6+(0.5+24)*$B$355</f>
        <v>1.5572283976237016</v>
      </c>
    </row>
    <row r="381" spans="2:2" ht="15" customHeight="1" x14ac:dyDescent="0.25">
      <c r="B381">
        <f>'Range Analysis'!$F$6+(0.5+25)*$B$355</f>
        <v>1.6003805771185466</v>
      </c>
    </row>
    <row r="382" spans="2:2" ht="15" customHeight="1" x14ac:dyDescent="0.25">
      <c r="B382">
        <f>'Range Analysis'!$F$6+(0.5+26)*$B$355</f>
        <v>1.6435327566133915</v>
      </c>
    </row>
    <row r="383" spans="2:2" ht="15" customHeight="1" x14ac:dyDescent="0.25">
      <c r="B383">
        <f>'Range Analysis'!$F$6+(0.5+27)*$B$355</f>
        <v>1.6866849361082366</v>
      </c>
    </row>
    <row r="384" spans="2:2" ht="15" customHeight="1" x14ac:dyDescent="0.25">
      <c r="B384">
        <f>'Range Analysis'!$F$6+(0.5+28)*$B$355</f>
        <v>1.7298371156030814</v>
      </c>
    </row>
    <row r="385" spans="1:2" ht="15" customHeight="1" x14ac:dyDescent="0.25">
      <c r="B385">
        <f>'Range Analysis'!$F$6+(0.5+29)*$B$355</f>
        <v>1.7729892950979265</v>
      </c>
    </row>
    <row r="386" spans="1:2" ht="15" customHeight="1" x14ac:dyDescent="0.25"/>
    <row r="387" spans="1:2" ht="15" customHeight="1" x14ac:dyDescent="0.25"/>
    <row r="388" spans="1:2" ht="15" customHeight="1" x14ac:dyDescent="0.25"/>
    <row r="389" spans="1:2" ht="15" customHeight="1" x14ac:dyDescent="0.25"/>
    <row r="390" spans="1:2" ht="15" customHeight="1" x14ac:dyDescent="0.25"/>
    <row r="391" spans="1:2" ht="15" customHeight="1" x14ac:dyDescent="0.25"/>
    <row r="392" spans="1:2" ht="15" customHeight="1" x14ac:dyDescent="0.25"/>
    <row r="393" spans="1:2" ht="15" customHeight="1" x14ac:dyDescent="0.25"/>
    <row r="394" spans="1:2" ht="15" customHeight="1" x14ac:dyDescent="0.25"/>
    <row r="395" spans="1:2" ht="15" customHeight="1" x14ac:dyDescent="0.25"/>
    <row r="396" spans="1:2" ht="15" customHeight="1" x14ac:dyDescent="0.25"/>
    <row r="397" spans="1:2" ht="15" customHeight="1" x14ac:dyDescent="0.25"/>
    <row r="398" spans="1:2" ht="15" customHeight="1" x14ac:dyDescent="0.25"/>
    <row r="399" spans="1:2" ht="15" customHeight="1" x14ac:dyDescent="0.25"/>
    <row r="400" spans="1:2" ht="15" customHeight="1" x14ac:dyDescent="0.25">
      <c r="A400" s="230" t="s">
        <v>540</v>
      </c>
    </row>
    <row r="401" spans="1:2" ht="15" customHeight="1" x14ac:dyDescent="0.25">
      <c r="A401" t="s">
        <v>541</v>
      </c>
      <c r="B401">
        <f>2*'Range Analysis'!$F$6/30</f>
        <v>3.3333333333333333E-2</v>
      </c>
    </row>
    <row r="402" spans="1:2" ht="15" customHeight="1" x14ac:dyDescent="0.25">
      <c r="A402">
        <f>-'Range Analysis'!$F$6+(0.5+0)*$B$401</f>
        <v>-0.48333333333333334</v>
      </c>
    </row>
    <row r="403" spans="1:2" ht="15" customHeight="1" x14ac:dyDescent="0.25">
      <c r="A403">
        <f>-'Range Analysis'!$F$6+(0.5+1)*$B$401</f>
        <v>-0.45</v>
      </c>
    </row>
    <row r="404" spans="1:2" ht="15" customHeight="1" x14ac:dyDescent="0.25">
      <c r="A404">
        <f>-'Range Analysis'!$F$6+(0.5+2)*$B$401</f>
        <v>-0.41666666666666669</v>
      </c>
    </row>
    <row r="405" spans="1:2" ht="15" customHeight="1" x14ac:dyDescent="0.25">
      <c r="A405">
        <f>-'Range Analysis'!$F$6+(0.5+3)*$B$401</f>
        <v>-0.3833333333333333</v>
      </c>
    </row>
    <row r="406" spans="1:2" ht="15" customHeight="1" x14ac:dyDescent="0.25">
      <c r="A406">
        <f>-'Range Analysis'!$F$6+(0.5+4)*$B$401</f>
        <v>-0.35</v>
      </c>
    </row>
    <row r="407" spans="1:2" ht="15" customHeight="1" x14ac:dyDescent="0.25">
      <c r="A407">
        <f>-'Range Analysis'!$F$6+(0.5+5)*$B$401</f>
        <v>-0.31666666666666665</v>
      </c>
    </row>
    <row r="408" spans="1:2" ht="15" customHeight="1" x14ac:dyDescent="0.25">
      <c r="A408">
        <f>-'Range Analysis'!$F$6+(0.5+6)*$B$401</f>
        <v>-0.28333333333333333</v>
      </c>
    </row>
    <row r="409" spans="1:2" ht="15" customHeight="1" x14ac:dyDescent="0.25">
      <c r="A409">
        <f>-'Range Analysis'!$F$6+(0.5+7)*$B$401</f>
        <v>-0.25</v>
      </c>
    </row>
    <row r="410" spans="1:2" ht="15" customHeight="1" x14ac:dyDescent="0.25">
      <c r="A410">
        <f>-'Range Analysis'!$F$6+(0.5+8)*$B$401</f>
        <v>-0.21666666666666667</v>
      </c>
    </row>
    <row r="411" spans="1:2" ht="15" customHeight="1" x14ac:dyDescent="0.25">
      <c r="A411">
        <f>-'Range Analysis'!$F$6+(0.5+9)*$B$401</f>
        <v>-0.18333333333333335</v>
      </c>
    </row>
    <row r="412" spans="1:2" ht="15" customHeight="1" x14ac:dyDescent="0.25">
      <c r="A412">
        <f>-'Range Analysis'!$F$6+(0.5+10)*$B$401</f>
        <v>-0.15000000000000002</v>
      </c>
    </row>
    <row r="413" spans="1:2" ht="15" customHeight="1" x14ac:dyDescent="0.25">
      <c r="A413">
        <f>-'Range Analysis'!$F$6+(0.5+11)*$B$401</f>
        <v>-0.1166666666666667</v>
      </c>
    </row>
    <row r="414" spans="1:2" ht="15" customHeight="1" x14ac:dyDescent="0.25">
      <c r="A414">
        <f>-'Range Analysis'!$F$6+(0.5+12)*$B$401</f>
        <v>-8.3333333333333315E-2</v>
      </c>
    </row>
    <row r="415" spans="1:2" ht="15" customHeight="1" x14ac:dyDescent="0.25">
      <c r="A415">
        <f>-'Range Analysis'!$F$6+(0.5+13)*$B$401</f>
        <v>-4.9999999999999989E-2</v>
      </c>
    </row>
    <row r="416" spans="1:2" ht="15" customHeight="1" x14ac:dyDescent="0.25">
      <c r="A416">
        <f>-'Range Analysis'!$F$6+(0.5+14)*$B$401</f>
        <v>-1.6666666666666663E-2</v>
      </c>
    </row>
    <row r="417" spans="1:1" ht="15" customHeight="1" x14ac:dyDescent="0.25">
      <c r="A417">
        <f>-'Range Analysis'!$F$6+(0.5+15)*$B$401</f>
        <v>1.6666666666666607E-2</v>
      </c>
    </row>
    <row r="418" spans="1:1" ht="15" customHeight="1" x14ac:dyDescent="0.25">
      <c r="A418">
        <f>-'Range Analysis'!$F$6+(0.5+16)*$B$401</f>
        <v>5.0000000000000044E-2</v>
      </c>
    </row>
    <row r="419" spans="1:1" ht="15" customHeight="1" x14ac:dyDescent="0.25">
      <c r="A419">
        <f>-'Range Analysis'!$F$6+(0.5+17)*$B$401</f>
        <v>8.333333333333337E-2</v>
      </c>
    </row>
    <row r="420" spans="1:1" ht="15" customHeight="1" x14ac:dyDescent="0.25">
      <c r="A420">
        <f>-'Range Analysis'!$F$6+(0.5+18)*$B$401</f>
        <v>0.1166666666666667</v>
      </c>
    </row>
    <row r="421" spans="1:1" ht="15" customHeight="1" x14ac:dyDescent="0.25">
      <c r="A421">
        <f>-'Range Analysis'!$F$6+(0.5+19)*$B$401</f>
        <v>0.15000000000000002</v>
      </c>
    </row>
    <row r="422" spans="1:1" ht="15" customHeight="1" x14ac:dyDescent="0.25">
      <c r="A422">
        <f>-'Range Analysis'!$F$6+(0.5+20)*$B$401</f>
        <v>0.18333333333333335</v>
      </c>
    </row>
    <row r="423" spans="1:1" ht="15" customHeight="1" x14ac:dyDescent="0.25">
      <c r="A423">
        <f>-'Range Analysis'!$F$6+(0.5+21)*$B$401</f>
        <v>0.21666666666666667</v>
      </c>
    </row>
    <row r="424" spans="1:1" ht="15" customHeight="1" x14ac:dyDescent="0.25">
      <c r="A424">
        <f>-'Range Analysis'!$F$6+(0.5+22)*$B$401</f>
        <v>0.25</v>
      </c>
    </row>
    <row r="425" spans="1:1" ht="15" customHeight="1" x14ac:dyDescent="0.25">
      <c r="A425">
        <f>-'Range Analysis'!$F$6+(0.5+23)*$B$401</f>
        <v>0.28333333333333333</v>
      </c>
    </row>
    <row r="426" spans="1:1" ht="15" customHeight="1" x14ac:dyDescent="0.25">
      <c r="A426">
        <f>-'Range Analysis'!$F$6+(0.5+24)*$B$401</f>
        <v>0.31666666666666665</v>
      </c>
    </row>
    <row r="427" spans="1:1" ht="15" customHeight="1" x14ac:dyDescent="0.25">
      <c r="A427">
        <f>-'Range Analysis'!$F$6+(0.5+25)*$B$401</f>
        <v>0.35</v>
      </c>
    </row>
    <row r="428" spans="1:1" ht="15" customHeight="1" x14ac:dyDescent="0.25">
      <c r="A428">
        <f>-'Range Analysis'!$F$6+(0.5+26)*$B$401</f>
        <v>0.3833333333333333</v>
      </c>
    </row>
    <row r="429" spans="1:1" ht="15" customHeight="1" x14ac:dyDescent="0.25">
      <c r="A429">
        <f>-'Range Analysis'!$F$6+(0.5+27)*$B$401</f>
        <v>0.41666666666666663</v>
      </c>
    </row>
    <row r="430" spans="1:1" ht="15" customHeight="1" x14ac:dyDescent="0.25">
      <c r="A430">
        <f>-'Range Analysis'!$F$6+(0.5+28)*$B$401</f>
        <v>0.44999999999999996</v>
      </c>
    </row>
    <row r="431" spans="1:1" ht="15" customHeight="1" x14ac:dyDescent="0.25">
      <c r="A431">
        <f>-'Range Analysis'!$F$6+(0.5+29)*$B$401</f>
        <v>0.48333333333333328</v>
      </c>
    </row>
  </sheetData>
  <sheetProtection sheet="1" objects="1" scenarios="1" sort="0" autoFilter="0"/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2C07CACFD6C4BAC6E85CF35BE7FB0" ma:contentTypeVersion="21" ma:contentTypeDescription="Create a new document." ma:contentTypeScope="" ma:versionID="62b776596e775bc077c40c8a43d8ea98">
  <xsd:schema xmlns:xsd="http://www.w3.org/2001/XMLSchema" xmlns:xs="http://www.w3.org/2001/XMLSchema" xmlns:p="http://schemas.microsoft.com/office/2006/metadata/properties" xmlns:ns2="431d60b5-bc3f-4264-9286-e22c2945c1ae" xmlns:ns3="6de2c958-59a2-4e5f-8237-3461fd469209" targetNamespace="http://schemas.microsoft.com/office/2006/metadata/properties" ma:root="true" ma:fieldsID="074975b60a7fb088120a8f71d89e55f0" ns2:_="" ns3:_="">
    <xsd:import namespace="431d60b5-bc3f-4264-9286-e22c2945c1ae"/>
    <xsd:import namespace="6de2c958-59a2-4e5f-8237-3461fd4692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DateandTime" minOccurs="0"/>
                <xsd:element ref="ns2:Imag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d60b5-bc3f-4264-9286-e22c2945c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andTime" ma:index="17" nillable="true" ma:displayName="Date and Time" ma:format="DateTime" ma:internalName="DateandTime">
      <xsd:simpleType>
        <xsd:restriction base="dms:DateTime"/>
      </xsd:simpleType>
    </xsd:element>
    <xsd:element name="Image" ma:index="18" nillable="true" ma:displayName="Image" ma:format="Thumbnail" ma:internalName="Imag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fdc529c-f654-4511-b109-7eaba64943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2c958-59a2-4e5f-8237-3461fd46920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4f8ba4e-a110-4358-acde-8cfefa4f458d}" ma:internalName="TaxCatchAll" ma:showField="CatchAllData" ma:web="6de2c958-59a2-4e5f-8237-3461fd4692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1d60b5-bc3f-4264-9286-e22c2945c1ae">
      <Terms xmlns="http://schemas.microsoft.com/office/infopath/2007/PartnerControls"/>
    </lcf76f155ced4ddcb4097134ff3c332f>
    <TaxCatchAll xmlns="6de2c958-59a2-4e5f-8237-3461fd469209" xsi:nil="true"/>
    <Image xmlns="431d60b5-bc3f-4264-9286-e22c2945c1ae" xsi:nil="true"/>
    <DateandTime xmlns="431d60b5-bc3f-4264-9286-e22c2945c1ae" xsi:nil="true"/>
  </documentManagement>
</p:properties>
</file>

<file path=customXml/itemProps1.xml><?xml version="1.0" encoding="utf-8"?>
<ds:datastoreItem xmlns:ds="http://schemas.openxmlformats.org/officeDocument/2006/customXml" ds:itemID="{0070B201-D672-4611-AEE8-F84B6F39EE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72E75B-98C8-4A5A-B042-C3AB9938C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d60b5-bc3f-4264-9286-e22c2945c1ae"/>
    <ds:schemaRef ds:uri="6de2c958-59a2-4e5f-8237-3461fd4692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E41707-FE55-4ABA-BB37-BDBE18963BAB}">
  <ds:schemaRefs>
    <ds:schemaRef ds:uri="http://schemas.microsoft.com/office/2006/metadata/properties"/>
    <ds:schemaRef ds:uri="http://schemas.microsoft.com/office/infopath/2007/PartnerControls"/>
    <ds:schemaRef ds:uri="431d60b5-bc3f-4264-9286-e22c2945c1ae"/>
    <ds:schemaRef ds:uri="6de2c958-59a2-4e5f-8237-3461fd4692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Executive Summary</vt:lpstr>
      <vt:lpstr>Graphs Summary</vt:lpstr>
      <vt:lpstr>Instructions</vt:lpstr>
      <vt:lpstr>Dashboard</vt:lpstr>
      <vt:lpstr>Range Analysis</vt:lpstr>
      <vt:lpstr>Breakeven</vt:lpstr>
      <vt:lpstr>Guard Band Analysis</vt:lpstr>
      <vt:lpstr>Standard Switching</vt:lpstr>
      <vt:lpstr>Risk Calc</vt:lpstr>
      <vt:lpstr>Validation</vt:lpstr>
      <vt:lpstr>Dashboard!Print_Area</vt:lpstr>
      <vt:lpstr>'Executive Summary'!Print_Area</vt:lpstr>
      <vt:lpstr>'Range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Henry A. Zumbrun</cp:lastModifiedBy>
  <cp:revision>38</cp:revision>
  <cp:lastPrinted>2026-04-08T14:03:27Z</cp:lastPrinted>
  <dcterms:created xsi:type="dcterms:W3CDTF">2026-03-28T13:05:08Z</dcterms:created>
  <dcterms:modified xsi:type="dcterms:W3CDTF">2026-05-05T20:41:05Z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0x01010054B2C07CACFD6C4BAC6E85CF35BE7FB0</vt:lpwstr>
  </property>
  <property fmtid="{D5CDD505-2E9C-101B-9397-08002B2CF9AE}" pid="3" name="MediaServiceImageTags">
    <vt:lpwstr/>
  </property>
</Properties>
</file>