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80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<sst xmlns="http://schemas.openxmlformats.org/spreadsheetml/2006/main" count="62" uniqueCount="49">
  <si>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POSITION</t>
  </si>
  <si>
    <t>Instrument Type</t>
  </si>
  <si>
    <t>Capacity:</t>
  </si>
  <si>
    <t>Serial No.</t>
  </si>
  <si>
    <t xml:space="preserve">CURRENT UNCERTAINTY </t>
  </si>
  <si>
    <t>MODE:</t>
  </si>
  <si>
    <t>COMPRESSION</t>
  </si>
  <si>
    <t>PREDICTED 
Response</t>
  </si>
  <si>
    <t>ENTER HERE</t>
  </si>
  <si>
    <t>READING</t>
  </si>
  <si>
    <t>FORCE UNITS
Response</t>
  </si>
  <si>
    <t>FORCE</t>
  </si>
  <si>
    <t>UNITS</t>
  </si>
  <si>
    <t>CURRENT COEFFICIENTS</t>
  </si>
  <si>
    <t>NOTE:  TYPE YOU’RE A COEFFICIENTS FROM THE</t>
  </si>
  <si>
    <t>LBF</t>
  </si>
  <si>
    <t>PROVING RING</t>
  </si>
  <si>
    <t>Celsius</t>
  </si>
  <si>
    <t>TEMP CORRECTION</t>
  </si>
  <si>
    <t>CUREENT CAL REPORT IN THE BOXES TO THE LEFT</t>
  </si>
  <si>
    <t xml:space="preserve">Current Proving Ring Temperature = </t>
  </si>
  <si>
    <t>ENTER INSTRUMENT  BEING CALIBRATED CAPACITY</t>
  </si>
  <si>
    <t>TARE LOAD</t>
  </si>
  <si>
    <t>CORRECTION</t>
  </si>
  <si>
    <t>A0</t>
  </si>
  <si>
    <t>A1</t>
  </si>
  <si>
    <t>A2</t>
  </si>
  <si>
    <t xml:space="preserve">CORRECTED </t>
  </si>
  <si>
    <t>RESPONSE</t>
  </si>
  <si>
    <t>THIS COLOR CELL MUST BE FILLED IN WITH THE CORRECT #'S</t>
  </si>
  <si>
    <t>Tare Value of Calibrating Machine =</t>
  </si>
  <si>
    <t xml:space="preserve"> CALIBRATION LOAD POINTS FOR PROVING RINGS BEING USED AS A STANDARD </t>
  </si>
  <si>
    <t>IN MOREHOUSE UNIVERSAL CALIBRATING MACHINES</t>
  </si>
  <si>
    <t>ENTER PROVING RING READING VALUES SOLVING FOR FORCE WHEN YOU KNOW THE PROVING RING READING</t>
  </si>
  <si>
    <t xml:space="preserve">CORRECTION </t>
  </si>
  <si>
    <t xml:space="preserve">Beg Zero </t>
  </si>
  <si>
    <t xml:space="preserve">Ring Reading </t>
  </si>
  <si>
    <t>Tare Value</t>
  </si>
  <si>
    <t>Tare Load Deflection</t>
  </si>
  <si>
    <t xml:space="preserve">TARE WEIGHT OF THE MACHINE CALCULATION WITH UUT IN IT </t>
  </si>
  <si>
    <t xml:space="preserve">Tare Calculation </t>
  </si>
  <si>
    <t xml:space="preserve">START ZERO </t>
  </si>
  <si>
    <t xml:space="preserve">STARTING ZERO </t>
  </si>
  <si>
    <t>Starting Zero Div</t>
  </si>
  <si>
    <t>Force</t>
  </si>
  <si>
    <t>CORRECTED DIV</t>
  </si>
  <si>
    <t>TEMP STANDARD</t>
  </si>
  <si>
    <t xml:space="preserve">TEMP CORRECTED </t>
  </si>
  <si>
    <t>DIFFERENCE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</si>
</sst>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#,##0.0"/>
    <numFmt numFmtId="167" formatCode="0.00000E+00"/>
    <numFmt numFmtId="168" formatCode="0.00000"/>
    <numFmt numFmtId="169" formatCode="0.0000"/>
    <numFmt numFmtId="170" formatCode="#,##0.0000"/>
    <numFmt numFmtId="171" formatCode="0.0"/>
    <numFmt numFmtId="172" formatCode="0.000000000"/>
    <numFmt numFmtId="173" formatCode="0.0000000000"/>
    <numFmt numFmtId="174" formatCode="0.00000000"/>
    <numFmt numFmtId="175" formatCode="0.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sz val="10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3" fontId="0" fillId="33" borderId="0" xfId="0" applyNumberFormat="1" applyFill="1" applyAlignment="1">
      <alignment/>
    </xf>
    <xf numFmtId="165" fontId="0" fillId="33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0" fillId="34" borderId="13" xfId="0" applyNumberFormat="1" applyFill="1" applyBorder="1" applyAlignment="1" applyProtection="1">
      <alignment horizontal="center" vertical="center"/>
      <protection locked="0"/>
    </xf>
    <xf numFmtId="167" fontId="0" fillId="34" borderId="14" xfId="0" applyNumberFormat="1" applyFill="1" applyBorder="1" applyAlignment="1">
      <alignment vertical="center"/>
    </xf>
    <xf numFmtId="167" fontId="0" fillId="34" borderId="15" xfId="0" applyNumberFormat="1" applyFill="1" applyBorder="1" applyAlignment="1">
      <alignment vertical="center"/>
    </xf>
    <xf numFmtId="167" fontId="0" fillId="34" borderId="16" xfId="0" applyNumberFormat="1" applyFill="1" applyBorder="1" applyAlignment="1">
      <alignment vertical="center"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3" fillId="35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center" vertical="center"/>
      <protection locked="0"/>
    </xf>
    <xf numFmtId="166" fontId="6" fillId="35" borderId="24" xfId="0" applyNumberFormat="1" applyFont="1" applyFill="1" applyBorder="1" applyAlignment="1" applyProtection="1">
      <alignment horizontal="center" vertical="center"/>
      <protection/>
    </xf>
    <xf numFmtId="166" fontId="0" fillId="35" borderId="18" xfId="0" applyNumberFormat="1" applyFill="1" applyBorder="1" applyAlignment="1" applyProtection="1">
      <alignment horizontal="center" vertical="center"/>
      <protection locked="0"/>
    </xf>
    <xf numFmtId="166" fontId="0" fillId="35" borderId="24" xfId="0" applyNumberFormat="1" applyFill="1" applyBorder="1" applyAlignment="1" applyProtection="1">
      <alignment horizontal="center" vertical="center"/>
      <protection locked="0"/>
    </xf>
    <xf numFmtId="166" fontId="0" fillId="35" borderId="18" xfId="0" applyNumberFormat="1" applyFont="1" applyFill="1" applyBorder="1" applyAlignment="1" applyProtection="1">
      <alignment horizontal="center" vertical="center"/>
      <protection locked="0"/>
    </xf>
    <xf numFmtId="166" fontId="0" fillId="35" borderId="25" xfId="0" applyNumberForma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168" fontId="0" fillId="35" borderId="18" xfId="0" applyNumberFormat="1" applyFill="1" applyBorder="1" applyAlignment="1" applyProtection="1">
      <alignment horizontal="center" vertical="center"/>
      <protection locked="0"/>
    </xf>
    <xf numFmtId="168" fontId="0" fillId="35" borderId="24" xfId="0" applyNumberFormat="1" applyFill="1" applyBorder="1" applyAlignment="1" applyProtection="1">
      <alignment horizontal="center" vertical="center"/>
      <protection locked="0"/>
    </xf>
    <xf numFmtId="168" fontId="0" fillId="35" borderId="25" xfId="0" applyNumberForma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71" fontId="0" fillId="0" borderId="28" xfId="0" applyNumberFormat="1" applyBorder="1" applyAlignment="1" applyProtection="1">
      <alignment horizontal="center" vertical="center"/>
      <protection locked="0"/>
    </xf>
    <xf numFmtId="171" fontId="0" fillId="0" borderId="17" xfId="0" applyNumberFormat="1" applyBorder="1" applyAlignment="1" applyProtection="1">
      <alignment horizontal="center" vertical="center"/>
      <protection locked="0"/>
    </xf>
    <xf numFmtId="171" fontId="0" fillId="0" borderId="18" xfId="0" applyNumberFormat="1" applyBorder="1" applyAlignment="1" applyProtection="1">
      <alignment horizontal="center" vertical="center"/>
      <protection locked="0"/>
    </xf>
    <xf numFmtId="171" fontId="0" fillId="0" borderId="29" xfId="0" applyNumberFormat="1" applyBorder="1" applyAlignment="1" applyProtection="1">
      <alignment horizontal="center" vertical="center"/>
      <protection locked="0"/>
    </xf>
    <xf numFmtId="171" fontId="0" fillId="0" borderId="25" xfId="0" applyNumberFormat="1" applyBorder="1" applyAlignment="1" applyProtection="1">
      <alignment horizontal="center" vertical="center"/>
      <protection locked="0"/>
    </xf>
    <xf numFmtId="2" fontId="6" fillId="35" borderId="24" xfId="0" applyNumberFormat="1" applyFont="1" applyFill="1" applyBorder="1" applyAlignment="1" applyProtection="1">
      <alignment horizontal="center" vertical="center"/>
      <protection/>
    </xf>
    <xf numFmtId="2" fontId="0" fillId="35" borderId="18" xfId="0" applyNumberFormat="1" applyFill="1" applyBorder="1" applyAlignment="1" applyProtection="1">
      <alignment horizontal="center" vertical="center"/>
      <protection locked="0"/>
    </xf>
    <xf numFmtId="2" fontId="0" fillId="35" borderId="24" xfId="0" applyNumberFormat="1" applyFill="1" applyBorder="1" applyAlignment="1" applyProtection="1">
      <alignment horizontal="center" vertical="center"/>
      <protection locked="0"/>
    </xf>
    <xf numFmtId="2" fontId="0" fillId="35" borderId="18" xfId="0" applyNumberFormat="1" applyFont="1" applyFill="1" applyBorder="1" applyAlignment="1" applyProtection="1">
      <alignment horizontal="center" vertical="center"/>
      <protection locked="0"/>
    </xf>
    <xf numFmtId="171" fontId="0" fillId="0" borderId="19" xfId="0" applyNumberFormat="1" applyBorder="1" applyAlignment="1" applyProtection="1">
      <alignment horizontal="center" vertical="center"/>
      <protection locked="0"/>
    </xf>
    <xf numFmtId="171" fontId="0" fillId="0" borderId="21" xfId="0" applyNumberFormat="1" applyBorder="1" applyAlignment="1" applyProtection="1">
      <alignment horizontal="center" vertical="center"/>
      <protection locked="0"/>
    </xf>
    <xf numFmtId="171" fontId="0" fillId="0" borderId="23" xfId="0" applyNumberFormat="1" applyBorder="1" applyAlignment="1" applyProtection="1">
      <alignment horizontal="center" vertical="center"/>
      <protection locked="0"/>
    </xf>
    <xf numFmtId="166" fontId="0" fillId="34" borderId="31" xfId="0" applyNumberForma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3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6" borderId="31" xfId="0" applyFill="1" applyBorder="1" applyAlignment="1">
      <alignment/>
    </xf>
    <xf numFmtId="2" fontId="0" fillId="36" borderId="31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2" fontId="0" fillId="36" borderId="25" xfId="0" applyNumberForma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25" xfId="0" applyFill="1" applyBorder="1" applyAlignment="1">
      <alignment horizontal="center"/>
    </xf>
    <xf numFmtId="171" fontId="0" fillId="0" borderId="0" xfId="0" applyNumberFormat="1" applyBorder="1" applyAlignment="1" applyProtection="1">
      <alignment horizontal="center" vertical="center"/>
      <protection locked="0"/>
    </xf>
    <xf numFmtId="171" fontId="0" fillId="0" borderId="26" xfId="0" applyNumberFormat="1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171" fontId="0" fillId="0" borderId="30" xfId="0" applyNumberFormat="1" applyBorder="1" applyAlignment="1" applyProtection="1">
      <alignment horizontal="center" vertical="center"/>
      <protection locked="0"/>
    </xf>
    <xf numFmtId="171" fontId="0" fillId="0" borderId="27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N41" sqref="N41"/>
    </sheetView>
  </sheetViews>
  <sheetFormatPr defaultColWidth="9.140625" defaultRowHeight="12.75"/>
  <cols>
    <col min="1" max="1" width="12.28125" style="0" customWidth="1"/>
    <col min="2" max="2" width="15.7109375" style="0" customWidth="1"/>
    <col min="3" max="3" width="16.57421875" style="0" customWidth="1"/>
    <col min="4" max="4" width="13.140625" style="0" customWidth="1"/>
    <col min="5" max="5" width="16.421875" style="0" customWidth="1"/>
    <col min="6" max="6" width="16.421875" style="0" hidden="1" customWidth="1"/>
    <col min="7" max="7" width="19.8515625" style="0" customWidth="1"/>
    <col min="8" max="8" width="19.8515625" style="0" hidden="1" customWidth="1"/>
    <col min="9" max="9" width="15.7109375" style="0" customWidth="1"/>
    <col min="10" max="10" width="15.7109375" style="0" hidden="1" customWidth="1"/>
    <col min="11" max="11" width="18.28125" style="0" customWidth="1"/>
    <col min="12" max="12" width="17.57421875" style="0" customWidth="1"/>
    <col min="13" max="13" width="10.140625" style="0" customWidth="1"/>
    <col min="15" max="15" width="16.8515625" style="0" bestFit="1" customWidth="1"/>
    <col min="16" max="16" width="19.00390625" style="0" bestFit="1" customWidth="1"/>
    <col min="17" max="17" width="12.7109375" style="0" bestFit="1" customWidth="1"/>
    <col min="18" max="18" width="9.8515625" style="0" bestFit="1" customWidth="1"/>
    <col min="19" max="19" width="12.57421875" style="0" bestFit="1" customWidth="1"/>
    <col min="20" max="20" width="13.28125" style="0" bestFit="1" customWidth="1"/>
  </cols>
  <sheetData>
    <row r="1" spans="1:11" ht="18">
      <c r="A1" s="106" t="s">
        <v>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8" customHeight="1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8" ht="15" customHeight="1" thickBot="1">
      <c r="A3" s="1"/>
      <c r="B3" s="1"/>
      <c r="C3" s="1"/>
      <c r="D3" s="1"/>
      <c r="E3" s="1"/>
      <c r="F3" s="1"/>
      <c r="G3" s="1"/>
      <c r="H3" s="1"/>
    </row>
    <row r="4" spans="1:13" ht="14.25" customHeight="1" thickBot="1">
      <c r="A4" s="113" t="s">
        <v>1</v>
      </c>
      <c r="B4" s="114"/>
      <c r="C4" s="48" t="s">
        <v>16</v>
      </c>
      <c r="D4" s="3" t="s">
        <v>5</v>
      </c>
      <c r="E4" s="115" t="s">
        <v>6</v>
      </c>
      <c r="F4" s="115"/>
      <c r="G4" s="116"/>
      <c r="H4" s="24"/>
      <c r="L4" s="117" t="s">
        <v>40</v>
      </c>
      <c r="M4" s="118"/>
    </row>
    <row r="5" spans="1:13" ht="15" customHeight="1" thickBot="1">
      <c r="A5" s="2"/>
      <c r="B5" s="3" t="s">
        <v>2</v>
      </c>
      <c r="C5" s="78">
        <v>10000</v>
      </c>
      <c r="D5" s="3"/>
      <c r="E5" s="13" t="s">
        <v>20</v>
      </c>
      <c r="F5" s="13"/>
      <c r="I5" s="79">
        <v>30</v>
      </c>
      <c r="J5" s="97"/>
      <c r="K5" s="14" t="s">
        <v>17</v>
      </c>
      <c r="L5" s="86" t="s">
        <v>35</v>
      </c>
      <c r="M5" s="88">
        <v>-1.5</v>
      </c>
    </row>
    <row r="6" spans="1:13" ht="15" customHeight="1" thickBot="1">
      <c r="A6" s="2"/>
      <c r="B6" s="3" t="s">
        <v>3</v>
      </c>
      <c r="C6" s="77">
        <v>6877</v>
      </c>
      <c r="D6" s="3"/>
      <c r="E6" s="13" t="s">
        <v>30</v>
      </c>
      <c r="F6" s="13"/>
      <c r="I6" s="83">
        <f>M8</f>
        <v>32.34966073080606</v>
      </c>
      <c r="J6" s="98"/>
      <c r="K6" s="19" t="s">
        <v>15</v>
      </c>
      <c r="L6" s="86" t="s">
        <v>36</v>
      </c>
      <c r="M6" s="79">
        <v>1.8</v>
      </c>
    </row>
    <row r="7" spans="9:13" ht="12.75">
      <c r="I7" s="47"/>
      <c r="J7" s="47"/>
      <c r="L7" s="86" t="s">
        <v>38</v>
      </c>
      <c r="M7" s="84">
        <f>M6-M5</f>
        <v>3.3</v>
      </c>
    </row>
    <row r="8" spans="2:13" ht="13.5" thickBot="1">
      <c r="B8" s="7" t="s">
        <v>21</v>
      </c>
      <c r="G8" s="7"/>
      <c r="H8" s="7"/>
      <c r="I8" s="47"/>
      <c r="J8" s="47"/>
      <c r="L8" s="87" t="s">
        <v>37</v>
      </c>
      <c r="M8" s="85">
        <f>IF($B$35&lt;0,(2*(M7-$B$34))/($B$35-SQRT($B$35^2-(4*$B$36)*($B$34-M7))),2*(M7-$B$34)/($B$35+SQRT($B$35^2-(4*$B$36)*($B$34-M7))))</f>
        <v>32.34966073080606</v>
      </c>
    </row>
    <row r="9" spans="2:10" ht="13.5" thickBot="1">
      <c r="B9" s="7" t="s">
        <v>8</v>
      </c>
      <c r="C9" s="76">
        <v>10000</v>
      </c>
      <c r="D9" s="7" t="s">
        <v>15</v>
      </c>
      <c r="G9" s="80" t="s">
        <v>43</v>
      </c>
      <c r="H9" s="80"/>
      <c r="I9" s="79">
        <f>M7</f>
        <v>3.3</v>
      </c>
      <c r="J9" s="97"/>
    </row>
    <row r="10" ht="13.5" thickBot="1">
      <c r="C10" s="7"/>
    </row>
    <row r="11" spans="2:11" ht="13.5" customHeight="1">
      <c r="B11" s="119" t="s">
        <v>0</v>
      </c>
      <c r="C11" s="41" t="s">
        <v>11</v>
      </c>
      <c r="D11" s="108" t="s">
        <v>7</v>
      </c>
      <c r="E11" s="25" t="s">
        <v>42</v>
      </c>
      <c r="F11" s="25"/>
      <c r="G11" s="27" t="s">
        <v>18</v>
      </c>
      <c r="H11" s="27"/>
      <c r="I11" s="27" t="s">
        <v>22</v>
      </c>
      <c r="J11" s="27"/>
      <c r="K11" s="27" t="s">
        <v>27</v>
      </c>
    </row>
    <row r="12" spans="2:11" ht="13.5" thickBot="1">
      <c r="B12" s="120"/>
      <c r="C12" s="42" t="s">
        <v>12</v>
      </c>
      <c r="D12" s="109"/>
      <c r="E12" s="26" t="s">
        <v>34</v>
      </c>
      <c r="F12" s="26"/>
      <c r="G12" s="40">
        <f>I5</f>
        <v>30</v>
      </c>
      <c r="H12" s="40"/>
      <c r="I12" s="40" t="s">
        <v>23</v>
      </c>
      <c r="J12" s="40"/>
      <c r="K12" s="40" t="s">
        <v>28</v>
      </c>
    </row>
    <row r="13" spans="2:12" ht="12.75">
      <c r="B13" s="29">
        <v>1</v>
      </c>
      <c r="C13" s="34">
        <f>C9*0.02</f>
        <v>200</v>
      </c>
      <c r="D13" s="49">
        <f aca="true" t="shared" si="0" ref="D13:D27">$B$34+$B$35*(C13)+$B$36*(C13^2)</f>
        <v>20.505121256</v>
      </c>
      <c r="E13" s="50">
        <f>D13+$I$9</f>
        <v>23.805121256</v>
      </c>
      <c r="F13" s="91"/>
      <c r="G13" s="51">
        <f aca="true" t="shared" si="1" ref="G13:G27">E13/(1-0.00027*($I$5-23))</f>
        <v>23.85019813046658</v>
      </c>
      <c r="H13" s="52"/>
      <c r="I13" s="52">
        <f aca="true" t="shared" si="2" ref="I13:I27">2*$B$36*C13*$I$6-$B$34</f>
        <v>0.02141730733426082</v>
      </c>
      <c r="J13" s="52"/>
      <c r="K13" s="53">
        <f>G13+I13</f>
        <v>23.87161543780084</v>
      </c>
      <c r="L13" s="15"/>
    </row>
    <row r="14" spans="2:12" ht="12.75">
      <c r="B14" s="30">
        <v>2</v>
      </c>
      <c r="C14" s="35">
        <f>$I$30*400</f>
        <v>560</v>
      </c>
      <c r="D14" s="54">
        <f t="shared" si="0"/>
        <v>57.49512215744</v>
      </c>
      <c r="E14" s="55">
        <f aca="true" t="shared" si="3" ref="E14:E27">D14+$I$9</f>
        <v>60.79512215744</v>
      </c>
      <c r="F14" s="92"/>
      <c r="G14" s="56">
        <f t="shared" si="1"/>
        <v>60.91024251579485</v>
      </c>
      <c r="H14" s="57"/>
      <c r="I14" s="57">
        <f t="shared" si="2"/>
        <v>0.0269338525359303</v>
      </c>
      <c r="J14" s="57"/>
      <c r="K14" s="58">
        <f aca="true" t="shared" si="4" ref="K14:K27">G14+I14</f>
        <v>60.93717636833078</v>
      </c>
      <c r="L14" s="15"/>
    </row>
    <row r="15" spans="2:12" ht="12.75">
      <c r="B15" s="31">
        <v>3</v>
      </c>
      <c r="C15" s="36">
        <f>C9/10</f>
        <v>1000</v>
      </c>
      <c r="D15" s="54">
        <f t="shared" si="0"/>
        <v>102.78849284</v>
      </c>
      <c r="E15" s="55">
        <f t="shared" si="3"/>
        <v>106.08849284</v>
      </c>
      <c r="F15" s="92"/>
      <c r="G15" s="56">
        <f t="shared" si="1"/>
        <v>106.28937976776106</v>
      </c>
      <c r="H15" s="57"/>
      <c r="I15" s="57">
        <f t="shared" si="2"/>
        <v>0.033676296671304104</v>
      </c>
      <c r="J15" s="57"/>
      <c r="K15" s="58">
        <f t="shared" si="4"/>
        <v>106.32305606443236</v>
      </c>
      <c r="L15" s="15"/>
    </row>
    <row r="16" spans="2:12" ht="12.75">
      <c r="B16" s="30">
        <v>4</v>
      </c>
      <c r="C16" s="37">
        <f>C9/10*2</f>
        <v>2000</v>
      </c>
      <c r="D16" s="54">
        <f t="shared" si="0"/>
        <v>206.06902903999998</v>
      </c>
      <c r="E16" s="55">
        <f t="shared" si="3"/>
        <v>209.36902904</v>
      </c>
      <c r="F16" s="92"/>
      <c r="G16" s="56">
        <f t="shared" si="1"/>
        <v>209.76548580817743</v>
      </c>
      <c r="H16" s="57"/>
      <c r="I16" s="57">
        <f t="shared" si="2"/>
        <v>0.04900003334260821</v>
      </c>
      <c r="J16" s="57"/>
      <c r="K16" s="58">
        <f t="shared" si="4"/>
        <v>209.81448584152005</v>
      </c>
      <c r="L16" s="15"/>
    </row>
    <row r="17" spans="2:12" ht="12.75">
      <c r="B17" s="31">
        <v>5</v>
      </c>
      <c r="C17" s="36">
        <f>C9/10*3</f>
        <v>3000</v>
      </c>
      <c r="D17" s="54">
        <f t="shared" si="0"/>
        <v>309.82325604</v>
      </c>
      <c r="E17" s="55">
        <f t="shared" si="3"/>
        <v>313.12325604</v>
      </c>
      <c r="F17" s="92"/>
      <c r="G17" s="56">
        <f t="shared" si="1"/>
        <v>313.7161796194808</v>
      </c>
      <c r="H17" s="57"/>
      <c r="I17" s="57">
        <f t="shared" si="2"/>
        <v>0.06432377001391232</v>
      </c>
      <c r="J17" s="57"/>
      <c r="K17" s="58">
        <f>G17+I17</f>
        <v>313.7805033894947</v>
      </c>
      <c r="L17" s="15"/>
    </row>
    <row r="18" spans="2:12" ht="12.75">
      <c r="B18" s="30">
        <v>6</v>
      </c>
      <c r="C18" s="37">
        <f>C9/10*4</f>
        <v>4000</v>
      </c>
      <c r="D18" s="54">
        <f t="shared" si="0"/>
        <v>414.05117384</v>
      </c>
      <c r="E18" s="55">
        <f t="shared" si="3"/>
        <v>417.35117384</v>
      </c>
      <c r="F18" s="92"/>
      <c r="G18" s="56">
        <f t="shared" si="1"/>
        <v>418.1414612016711</v>
      </c>
      <c r="H18" s="57"/>
      <c r="I18" s="57">
        <f t="shared" si="2"/>
        <v>0.07964750668521642</v>
      </c>
      <c r="J18" s="57"/>
      <c r="K18" s="58">
        <f t="shared" si="4"/>
        <v>418.2211087083563</v>
      </c>
      <c r="L18" s="15"/>
    </row>
    <row r="19" spans="2:12" ht="12.75">
      <c r="B19" s="31">
        <v>7</v>
      </c>
      <c r="C19" s="37">
        <f>C9/10*5</f>
        <v>5000</v>
      </c>
      <c r="D19" s="54">
        <f t="shared" si="0"/>
        <v>518.75278244</v>
      </c>
      <c r="E19" s="55">
        <f t="shared" si="3"/>
        <v>522.05278244</v>
      </c>
      <c r="F19" s="92"/>
      <c r="G19" s="56">
        <f t="shared" si="1"/>
        <v>523.0413305547485</v>
      </c>
      <c r="H19" s="57"/>
      <c r="I19" s="57">
        <f t="shared" si="2"/>
        <v>0.09497124335652053</v>
      </c>
      <c r="J19" s="57"/>
      <c r="K19" s="58">
        <f t="shared" si="4"/>
        <v>523.136301798105</v>
      </c>
      <c r="L19" s="15"/>
    </row>
    <row r="20" spans="2:12" ht="12.75">
      <c r="B20" s="30">
        <v>8</v>
      </c>
      <c r="C20" s="37">
        <f>C9/10*6</f>
        <v>6000</v>
      </c>
      <c r="D20" s="54">
        <f t="shared" si="0"/>
        <v>623.9280818399999</v>
      </c>
      <c r="E20" s="55">
        <f t="shared" si="3"/>
        <v>627.2280818399998</v>
      </c>
      <c r="F20" s="92"/>
      <c r="G20" s="56">
        <f t="shared" si="1"/>
        <v>628.4157876787126</v>
      </c>
      <c r="H20" s="57"/>
      <c r="I20" s="57">
        <f t="shared" si="2"/>
        <v>0.11029498002782463</v>
      </c>
      <c r="J20" s="57"/>
      <c r="K20" s="58">
        <f t="shared" si="4"/>
        <v>628.5260826587404</v>
      </c>
      <c r="L20" s="15"/>
    </row>
    <row r="21" spans="2:12" ht="12.75">
      <c r="B21" s="31">
        <v>9</v>
      </c>
      <c r="C21" s="38">
        <f>C9/10*7</f>
        <v>7000</v>
      </c>
      <c r="D21" s="54">
        <f t="shared" si="0"/>
        <v>729.57707204</v>
      </c>
      <c r="E21" s="55">
        <f t="shared" si="3"/>
        <v>732.8770720399999</v>
      </c>
      <c r="F21" s="92"/>
      <c r="G21" s="56">
        <f t="shared" si="1"/>
        <v>734.2648325735639</v>
      </c>
      <c r="H21" s="57"/>
      <c r="I21" s="57">
        <f t="shared" si="2"/>
        <v>0.12561871669912875</v>
      </c>
      <c r="J21" s="57"/>
      <c r="K21" s="58">
        <f t="shared" si="4"/>
        <v>734.3904512902631</v>
      </c>
      <c r="L21" s="15"/>
    </row>
    <row r="22" spans="2:12" ht="12.75">
      <c r="B22" s="30">
        <v>10</v>
      </c>
      <c r="C22" s="37">
        <f>C9/10*8</f>
        <v>8000</v>
      </c>
      <c r="D22" s="54">
        <f t="shared" si="0"/>
        <v>835.6997530399999</v>
      </c>
      <c r="E22" s="55">
        <f t="shared" si="3"/>
        <v>838.9997530399999</v>
      </c>
      <c r="F22" s="92"/>
      <c r="G22" s="56">
        <f t="shared" si="1"/>
        <v>840.5884652393021</v>
      </c>
      <c r="H22" s="57"/>
      <c r="I22" s="57">
        <f t="shared" si="2"/>
        <v>0.14094245337043285</v>
      </c>
      <c r="J22" s="57"/>
      <c r="K22" s="58">
        <f t="shared" si="4"/>
        <v>840.7294076926726</v>
      </c>
      <c r="L22" s="15"/>
    </row>
    <row r="23" spans="2:12" ht="12.75">
      <c r="B23" s="31">
        <v>11</v>
      </c>
      <c r="C23" s="36">
        <f>C9/10*9</f>
        <v>9000</v>
      </c>
      <c r="D23" s="54">
        <f t="shared" si="0"/>
        <v>942.29612484</v>
      </c>
      <c r="E23" s="55">
        <f t="shared" si="3"/>
        <v>945.5961248399999</v>
      </c>
      <c r="F23" s="92"/>
      <c r="G23" s="56">
        <f t="shared" si="1"/>
        <v>947.3866856759273</v>
      </c>
      <c r="H23" s="57"/>
      <c r="I23" s="57">
        <f t="shared" si="2"/>
        <v>0.15626619004173695</v>
      </c>
      <c r="J23" s="57"/>
      <c r="K23" s="58">
        <f t="shared" si="4"/>
        <v>947.542951865969</v>
      </c>
      <c r="L23" s="15"/>
    </row>
    <row r="24" spans="2:12" ht="12.75">
      <c r="B24" s="30">
        <v>12</v>
      </c>
      <c r="C24" s="37">
        <f>C9/10*10</f>
        <v>10000</v>
      </c>
      <c r="D24" s="54">
        <f t="shared" si="0"/>
        <v>1049.36618744</v>
      </c>
      <c r="E24" s="55">
        <f t="shared" si="3"/>
        <v>1052.66618744</v>
      </c>
      <c r="F24" s="92"/>
      <c r="G24" s="56">
        <f t="shared" si="1"/>
        <v>1054.6594938834396</v>
      </c>
      <c r="H24" s="57"/>
      <c r="I24" s="57">
        <f t="shared" si="2"/>
        <v>0.17158992671304105</v>
      </c>
      <c r="J24" s="57"/>
      <c r="K24" s="58">
        <f t="shared" si="4"/>
        <v>1054.8310838101527</v>
      </c>
      <c r="L24" s="15"/>
    </row>
    <row r="25" spans="2:12" ht="12.75">
      <c r="B25" s="31">
        <v>13</v>
      </c>
      <c r="C25" s="36"/>
      <c r="D25" s="54">
        <f t="shared" si="0"/>
        <v>-0.01835256</v>
      </c>
      <c r="E25" s="55">
        <f t="shared" si="3"/>
        <v>3.28164744</v>
      </c>
      <c r="F25" s="92"/>
      <c r="G25" s="56">
        <f t="shared" si="1"/>
        <v>3.2878614982316576</v>
      </c>
      <c r="H25" s="57"/>
      <c r="I25" s="57">
        <f t="shared" si="2"/>
        <v>0.01835256</v>
      </c>
      <c r="J25" s="57"/>
      <c r="K25" s="58">
        <f t="shared" si="4"/>
        <v>3.3062140582316575</v>
      </c>
      <c r="L25" s="15"/>
    </row>
    <row r="26" spans="2:12" ht="12.75">
      <c r="B26" s="32">
        <v>14</v>
      </c>
      <c r="C26" s="37"/>
      <c r="D26" s="54">
        <f t="shared" si="0"/>
        <v>-0.01835256</v>
      </c>
      <c r="E26" s="55">
        <f t="shared" si="3"/>
        <v>3.28164744</v>
      </c>
      <c r="F26" s="92"/>
      <c r="G26" s="56">
        <f t="shared" si="1"/>
        <v>3.2878614982316576</v>
      </c>
      <c r="H26" s="57"/>
      <c r="I26" s="57">
        <f t="shared" si="2"/>
        <v>0.01835256</v>
      </c>
      <c r="J26" s="57"/>
      <c r="K26" s="58">
        <f t="shared" si="4"/>
        <v>3.3062140582316575</v>
      </c>
      <c r="L26" s="15"/>
    </row>
    <row r="27" spans="2:12" ht="13.5" thickBot="1">
      <c r="B27" s="33">
        <v>15</v>
      </c>
      <c r="C27" s="39"/>
      <c r="D27" s="59">
        <f t="shared" si="0"/>
        <v>-0.01835256</v>
      </c>
      <c r="E27" s="60">
        <f t="shared" si="3"/>
        <v>3.28164744</v>
      </c>
      <c r="F27" s="93"/>
      <c r="G27" s="61">
        <f t="shared" si="1"/>
        <v>3.2878614982316576</v>
      </c>
      <c r="H27" s="62"/>
      <c r="I27" s="62">
        <f t="shared" si="2"/>
        <v>0.01835256</v>
      </c>
      <c r="J27" s="62"/>
      <c r="K27" s="63">
        <f t="shared" si="4"/>
        <v>3.3062140582316575</v>
      </c>
      <c r="L27" s="15"/>
    </row>
    <row r="28" spans="1:4" ht="12.75">
      <c r="A28" s="5"/>
      <c r="B28" s="4"/>
      <c r="C28" s="6"/>
      <c r="D28" s="5"/>
    </row>
    <row r="29" spans="1:10" ht="13.5" thickBot="1">
      <c r="A29" s="4"/>
      <c r="B29" s="6"/>
      <c r="C29" s="5"/>
      <c r="D29" s="5"/>
      <c r="E29" s="110" t="s">
        <v>6</v>
      </c>
      <c r="F29" s="110"/>
      <c r="G29" s="111"/>
      <c r="H29" s="8"/>
      <c r="I29" s="5"/>
      <c r="J29" s="5"/>
    </row>
    <row r="30" spans="1:10" ht="14.25" thickBot="1" thickTop="1">
      <c r="A30" s="110"/>
      <c r="B30" s="111"/>
      <c r="C30" s="12"/>
      <c r="D30" s="5"/>
      <c r="E30" s="110" t="s">
        <v>4</v>
      </c>
      <c r="F30" s="110"/>
      <c r="G30" s="111"/>
      <c r="H30" s="8"/>
      <c r="I30" s="20">
        <v>1.4</v>
      </c>
      <c r="J30" s="99"/>
    </row>
    <row r="31" spans="1:10" ht="13.5" thickTop="1">
      <c r="A31" s="4"/>
      <c r="B31" s="8"/>
      <c r="C31" s="12"/>
      <c r="D31" s="5"/>
      <c r="E31" s="4"/>
      <c r="F31" s="4"/>
      <c r="G31" s="8"/>
      <c r="H31" s="8"/>
      <c r="I31" s="12"/>
      <c r="J31" s="12"/>
    </row>
    <row r="32" spans="1:6" ht="12.75">
      <c r="A32" s="110" t="s">
        <v>6</v>
      </c>
      <c r="B32" s="111"/>
      <c r="C32" s="5"/>
      <c r="D32" s="5"/>
      <c r="E32" s="5"/>
      <c r="F32" s="5"/>
    </row>
    <row r="33" spans="1:2" ht="13.5" thickBot="1">
      <c r="A33" s="112" t="s">
        <v>13</v>
      </c>
      <c r="B33" s="112"/>
    </row>
    <row r="34" spans="1:4" ht="13.5" thickTop="1">
      <c r="A34" s="16" t="s">
        <v>24</v>
      </c>
      <c r="B34" s="21">
        <v>-0.01835256</v>
      </c>
      <c r="D34" s="7" t="s">
        <v>14</v>
      </c>
    </row>
    <row r="35" spans="1:12" ht="12.75">
      <c r="A35" s="17" t="s">
        <v>25</v>
      </c>
      <c r="B35" s="22">
        <v>0.10257</v>
      </c>
      <c r="D35" s="7" t="s">
        <v>19</v>
      </c>
      <c r="L35" s="15"/>
    </row>
    <row r="36" spans="1:2" ht="14.25" customHeight="1" thickBot="1">
      <c r="A36" s="18" t="s">
        <v>26</v>
      </c>
      <c r="B36" s="23">
        <v>2.368454E-07</v>
      </c>
    </row>
    <row r="37" spans="1:6" ht="14.25" thickBot="1" thickTop="1">
      <c r="A37" s="9"/>
      <c r="B37" s="10"/>
      <c r="D37" s="81"/>
      <c r="E37" s="7" t="s">
        <v>29</v>
      </c>
      <c r="F37" s="7"/>
    </row>
    <row r="38" spans="4:6" ht="13.5" thickBot="1">
      <c r="D38" s="82"/>
      <c r="E38" s="7" t="s">
        <v>39</v>
      </c>
      <c r="F38" s="7"/>
    </row>
    <row r="41" spans="8:11" ht="12.75">
      <c r="H41" s="100"/>
      <c r="I41" s="47"/>
      <c r="J41" s="47"/>
      <c r="K41" s="101"/>
    </row>
    <row r="45" ht="12.75">
      <c r="B45" s="7" t="s">
        <v>33</v>
      </c>
    </row>
    <row r="46" spans="1:3" ht="12.75">
      <c r="A46" s="7"/>
      <c r="B46" s="11"/>
      <c r="C46" s="7"/>
    </row>
    <row r="47" ht="13.5" thickBot="1">
      <c r="C47" s="7" t="s">
        <v>6</v>
      </c>
    </row>
    <row r="48" spans="2:17" ht="13.5" customHeight="1">
      <c r="B48" s="121" t="s">
        <v>0</v>
      </c>
      <c r="C48" s="41" t="s">
        <v>16</v>
      </c>
      <c r="D48" s="108" t="s">
        <v>10</v>
      </c>
      <c r="E48" s="25" t="s">
        <v>41</v>
      </c>
      <c r="F48" s="25" t="s">
        <v>11</v>
      </c>
      <c r="G48" s="27" t="s">
        <v>18</v>
      </c>
      <c r="H48" s="27" t="s">
        <v>44</v>
      </c>
      <c r="I48" s="27" t="s">
        <v>22</v>
      </c>
      <c r="J48" s="27" t="s">
        <v>45</v>
      </c>
      <c r="K48" s="27" t="s">
        <v>27</v>
      </c>
      <c r="O48" s="102" t="s">
        <v>46</v>
      </c>
      <c r="P48" s="102" t="s">
        <v>47</v>
      </c>
      <c r="Q48" s="103" t="s">
        <v>48</v>
      </c>
    </row>
    <row r="49" spans="2:17" ht="13.5" thickBot="1">
      <c r="B49" s="122"/>
      <c r="C49" s="42" t="s">
        <v>9</v>
      </c>
      <c r="D49" s="109"/>
      <c r="E49" s="26" t="s">
        <v>34</v>
      </c>
      <c r="F49" s="26"/>
      <c r="G49" s="28"/>
      <c r="H49" s="28"/>
      <c r="I49" s="28" t="s">
        <v>23</v>
      </c>
      <c r="J49" s="28"/>
      <c r="K49" s="28" t="s">
        <v>28</v>
      </c>
      <c r="O49" s="104">
        <v>23</v>
      </c>
      <c r="P49" s="104">
        <f>$I$5</f>
        <v>30</v>
      </c>
      <c r="Q49" s="105">
        <f>O49-P49</f>
        <v>-7</v>
      </c>
    </row>
    <row r="50" spans="2:17" ht="12.75">
      <c r="B50" s="46">
        <v>1</v>
      </c>
      <c r="C50" s="50">
        <v>20.505121256</v>
      </c>
      <c r="D50" s="89">
        <f>IF($B$35&lt;0,(2*(C50-$B$34))/($B$35-SQRT($B$35^2-(4*$B$36)*($B$34-C50))),2*(C50-$B$34)/($B$35+SQRT($B$35^2-(4*$B$36)*($B$34-C50))))</f>
        <v>200</v>
      </c>
      <c r="E50" s="73">
        <f>C50-$I$9</f>
        <v>17.205121255999998</v>
      </c>
      <c r="F50" s="65">
        <f>IF($B$35&lt;0,(2*(E50-$B$34))/($B$35-SQRT($B$35^2-(4*$B$36)*($B$34-E50))),2*(E50-$B$34)/($B$35+SQRT($B$35^2-(4*$B$36)*($B$34-E50))))</f>
        <v>167.85415514023984</v>
      </c>
      <c r="G50" s="90">
        <f>E50+Q50</f>
        <v>17.172542002036167</v>
      </c>
      <c r="H50" s="95">
        <f>IF($B$35&lt;0,(2*(G50-$B$34))/($B$35-SQRT($B$35^2-(4*$B$36)*($B$34-G50))),2*(G50-$B$34)/($B$35+SQRT($B$35^2-(4*$B$36)*($B$34-G50))))</f>
        <v>167.53677147699312</v>
      </c>
      <c r="I50" s="73">
        <f>2*$B$36*H50*$I$6-$B$34</f>
        <v>0.020919849368873894</v>
      </c>
      <c r="J50" s="65">
        <f>G50-I50</f>
        <v>17.151622152667294</v>
      </c>
      <c r="K50" s="51">
        <f>IF($B$35&lt;0,(2*(J50-$B$34))/($B$35-SQRT($B$35^2-(4*$B$36)*($B$34-J50))),2*(J50-$B$34)/($B$35+SQRT($B$35^2-(4*$B$36)*($B$34-J50))))</f>
        <v>167.3329722611169</v>
      </c>
      <c r="O50" s="53">
        <f>E50</f>
        <v>17.205121255999998</v>
      </c>
      <c r="P50" s="53">
        <f>O50/(1-0.00027*($P$49-23))</f>
        <v>17.23770050996383</v>
      </c>
      <c r="Q50" s="56">
        <f aca="true" t="shared" si="5" ref="Q50:Q64">O50-P50</f>
        <v>-0.032579253963831434</v>
      </c>
    </row>
    <row r="51" spans="2:17" ht="12.75">
      <c r="B51" s="30">
        <v>2</v>
      </c>
      <c r="C51" s="69">
        <v>57.49512215744</v>
      </c>
      <c r="D51" s="89">
        <f aca="true" t="shared" si="6" ref="D51:D64">IF($B$35&lt;0,(2*(C51-$B$34))/($B$35-SQRT($B$35^2-(4*$B$36)*($B$34-C51))),2*(C51-$B$34)/($B$35+SQRT($B$35^2-(4*$B$36)*($B$34-C51))))</f>
        <v>560</v>
      </c>
      <c r="E51" s="74">
        <f aca="true" t="shared" si="7" ref="E51:E64">C51-$I$9</f>
        <v>54.195122157440004</v>
      </c>
      <c r="F51" s="66">
        <f aca="true" t="shared" si="8" ref="F51:F64">IF($B$35&lt;0,(2*(E51-$B$34))/($B$35-SQRT($B$35^2-(4*$B$36)*($B$34-E51))),2*(E51-$B$34)/($B$35+SQRT($B$35^2-(4*$B$36)*($B$34-E51))))</f>
        <v>527.9074695339481</v>
      </c>
      <c r="G51" s="64">
        <f aca="true" t="shared" si="9" ref="G51:G64">E51+Q51</f>
        <v>54.0924994195879</v>
      </c>
      <c r="H51" s="89">
        <f aca="true" t="shared" si="10" ref="H51:H64">IF($B$35&lt;0,(2*(G51-$B$34))/($B$35-SQRT($B$35^2-(4*$B$36)*($B$34-G51))),2*(G51-$B$34)/($B$35+SQRT($B$35^2-(4*$B$36)*($B$34-G51))))</f>
        <v>526.9093863886142</v>
      </c>
      <c r="I51" s="74">
        <f aca="true" t="shared" si="11" ref="I51:I64">2*$B$36*H51*$I$6-$B$34</f>
        <v>0.026426780686657554</v>
      </c>
      <c r="J51" s="66">
        <f aca="true" t="shared" si="12" ref="J51:J64">G51-I51</f>
        <v>54.06607263890125</v>
      </c>
      <c r="K51" s="56">
        <f aca="true" t="shared" si="13" ref="K51:K64">IF($B$35&lt;0,(2*(J51-$B$34))/($B$35-SQRT($B$35^2-(4*$B$36)*($B$34-J51))),2*(J51-$B$34)/($B$35+SQRT($B$35^2-(4*$B$36)*($B$34-J51))))</f>
        <v>526.6523653697064</v>
      </c>
      <c r="O51" s="58">
        <f aca="true" t="shared" si="14" ref="O51:O64">E51</f>
        <v>54.195122157440004</v>
      </c>
      <c r="P51" s="58">
        <f aca="true" t="shared" si="15" ref="P51:P64">O51/(1-0.00027*($P$49-23))</f>
        <v>54.297744895292105</v>
      </c>
      <c r="Q51" s="56">
        <f t="shared" si="5"/>
        <v>-0.10262273785210141</v>
      </c>
    </row>
    <row r="52" spans="2:17" ht="12.75">
      <c r="B52" s="31">
        <v>3</v>
      </c>
      <c r="C52" s="70">
        <v>102.78849284</v>
      </c>
      <c r="D52" s="89">
        <f t="shared" si="6"/>
        <v>1000</v>
      </c>
      <c r="E52" s="74">
        <f t="shared" si="7"/>
        <v>99.48849284</v>
      </c>
      <c r="F52" s="66">
        <f t="shared" si="8"/>
        <v>967.9723918782911</v>
      </c>
      <c r="G52" s="64">
        <f t="shared" si="9"/>
        <v>99.30010353274169</v>
      </c>
      <c r="H52" s="89">
        <f t="shared" si="10"/>
        <v>966.1438680884547</v>
      </c>
      <c r="I52" s="74">
        <f t="shared" si="11"/>
        <v>0.03315749422118265</v>
      </c>
      <c r="J52" s="66">
        <f t="shared" si="12"/>
        <v>99.2669460385205</v>
      </c>
      <c r="K52" s="56">
        <f t="shared" si="13"/>
        <v>965.822036835986</v>
      </c>
      <c r="O52" s="58">
        <f t="shared" si="14"/>
        <v>99.48849284</v>
      </c>
      <c r="P52" s="58">
        <f t="shared" si="15"/>
        <v>99.67688214725833</v>
      </c>
      <c r="Q52" s="56">
        <f t="shared" si="5"/>
        <v>-0.18838930725831915</v>
      </c>
    </row>
    <row r="53" spans="2:17" ht="12.75">
      <c r="B53" s="30">
        <v>4</v>
      </c>
      <c r="C53" s="71">
        <v>206.06902903999998</v>
      </c>
      <c r="D53" s="89">
        <f t="shared" si="6"/>
        <v>1999.9999999999998</v>
      </c>
      <c r="E53" s="74">
        <f t="shared" si="7"/>
        <v>202.76902903999996</v>
      </c>
      <c r="F53" s="66">
        <f t="shared" si="8"/>
        <v>1968.118970179986</v>
      </c>
      <c r="G53" s="64">
        <f t="shared" si="9"/>
        <v>202.38506989232528</v>
      </c>
      <c r="H53" s="89">
        <f t="shared" si="10"/>
        <v>1964.4092701842987</v>
      </c>
      <c r="I53" s="74">
        <f t="shared" si="11"/>
        <v>0.04845465037097287</v>
      </c>
      <c r="J53" s="66">
        <f t="shared" si="12"/>
        <v>202.3366152419543</v>
      </c>
      <c r="K53" s="56">
        <f t="shared" si="13"/>
        <v>1963.9411111734603</v>
      </c>
      <c r="O53" s="58">
        <f t="shared" si="14"/>
        <v>202.76902903999996</v>
      </c>
      <c r="P53" s="58">
        <f t="shared" si="15"/>
        <v>203.15298818767465</v>
      </c>
      <c r="Q53" s="56">
        <f t="shared" si="5"/>
        <v>-0.38395914767468753</v>
      </c>
    </row>
    <row r="54" spans="2:17" ht="12.75">
      <c r="B54" s="31">
        <v>5</v>
      </c>
      <c r="C54" s="70">
        <v>309.82325604</v>
      </c>
      <c r="D54" s="89">
        <f t="shared" si="6"/>
        <v>3000</v>
      </c>
      <c r="E54" s="74">
        <f t="shared" si="7"/>
        <v>306.52325604</v>
      </c>
      <c r="F54" s="66">
        <f t="shared" si="8"/>
        <v>2968.2642128300868</v>
      </c>
      <c r="G54" s="64">
        <f t="shared" si="9"/>
        <v>305.94283008102195</v>
      </c>
      <c r="H54" s="89">
        <f t="shared" si="10"/>
        <v>2962.681836901506</v>
      </c>
      <c r="I54" s="74">
        <f t="shared" si="11"/>
        <v>0.06375191630953421</v>
      </c>
      <c r="J54" s="66">
        <f t="shared" si="12"/>
        <v>305.87907816471244</v>
      </c>
      <c r="K54" s="56">
        <f t="shared" si="13"/>
        <v>2962.068679994637</v>
      </c>
      <c r="O54" s="58">
        <f t="shared" si="14"/>
        <v>306.52325604</v>
      </c>
      <c r="P54" s="58">
        <f t="shared" si="15"/>
        <v>307.103681998978</v>
      </c>
      <c r="Q54" s="56">
        <f t="shared" si="5"/>
        <v>-0.5804259589780258</v>
      </c>
    </row>
    <row r="55" spans="2:17" ht="12.75">
      <c r="B55" s="30">
        <v>6</v>
      </c>
      <c r="C55" s="71">
        <v>414.05117384</v>
      </c>
      <c r="D55" s="89">
        <f t="shared" si="6"/>
        <v>3999.9999999999995</v>
      </c>
      <c r="E55" s="74">
        <f t="shared" si="7"/>
        <v>410.75117384</v>
      </c>
      <c r="F55" s="66">
        <f t="shared" si="8"/>
        <v>3968.408138003192</v>
      </c>
      <c r="G55" s="64">
        <f t="shared" si="9"/>
        <v>409.9733840988316</v>
      </c>
      <c r="H55" s="89">
        <f t="shared" si="10"/>
        <v>3960.961470928245</v>
      </c>
      <c r="I55" s="74">
        <f t="shared" si="11"/>
        <v>0.0790492905456858</v>
      </c>
      <c r="J55" s="66">
        <f t="shared" si="12"/>
        <v>409.8943348082859</v>
      </c>
      <c r="K55" s="56">
        <f t="shared" si="13"/>
        <v>3960.2046279557712</v>
      </c>
      <c r="O55" s="58">
        <f t="shared" si="14"/>
        <v>410.75117384</v>
      </c>
      <c r="P55" s="58">
        <f t="shared" si="15"/>
        <v>411.52896358116834</v>
      </c>
      <c r="Q55" s="56">
        <f t="shared" si="5"/>
        <v>-0.7777897411683625</v>
      </c>
    </row>
    <row r="56" spans="2:17" ht="12.75">
      <c r="B56" s="31">
        <v>7</v>
      </c>
      <c r="C56" s="71">
        <v>518.75278244</v>
      </c>
      <c r="D56" s="89">
        <f t="shared" si="6"/>
        <v>5000.000000000001</v>
      </c>
      <c r="E56" s="74">
        <f t="shared" si="7"/>
        <v>515.4527824400001</v>
      </c>
      <c r="F56" s="66">
        <f t="shared" si="8"/>
        <v>4968.550763545627</v>
      </c>
      <c r="G56" s="64">
        <f t="shared" si="9"/>
        <v>514.4767319457544</v>
      </c>
      <c r="H56" s="89">
        <f t="shared" si="10"/>
        <v>4959.248076706361</v>
      </c>
      <c r="I56" s="74">
        <f t="shared" si="11"/>
        <v>0.09434677161511962</v>
      </c>
      <c r="J56" s="66">
        <f t="shared" si="12"/>
        <v>514.3823851741392</v>
      </c>
      <c r="K56" s="56">
        <f t="shared" si="13"/>
        <v>4958.348841791057</v>
      </c>
      <c r="O56" s="58">
        <f t="shared" si="14"/>
        <v>515.4527824400001</v>
      </c>
      <c r="P56" s="58">
        <f t="shared" si="15"/>
        <v>516.4288329342457</v>
      </c>
      <c r="Q56" s="56">
        <f t="shared" si="5"/>
        <v>-0.9760504942456691</v>
      </c>
    </row>
    <row r="57" spans="2:17" ht="12.75">
      <c r="B57" s="30">
        <v>8</v>
      </c>
      <c r="C57" s="71">
        <v>623.9280818399999</v>
      </c>
      <c r="D57" s="89">
        <f t="shared" si="6"/>
        <v>6000</v>
      </c>
      <c r="E57" s="74">
        <f t="shared" si="7"/>
        <v>620.6280818399999</v>
      </c>
      <c r="F57" s="66">
        <f t="shared" si="8"/>
        <v>5968.692106982812</v>
      </c>
      <c r="G57" s="64">
        <f t="shared" si="9"/>
        <v>619.45287362179</v>
      </c>
      <c r="H57" s="89">
        <f t="shared" si="10"/>
        <v>5957.541560392055</v>
      </c>
      <c r="I57" s="74">
        <f t="shared" si="11"/>
        <v>0.10964435807979801</v>
      </c>
      <c r="J57" s="66">
        <f t="shared" si="12"/>
        <v>619.3432292637102</v>
      </c>
      <c r="K57" s="56">
        <f t="shared" si="13"/>
        <v>5956.5012102660485</v>
      </c>
      <c r="O57" s="58">
        <f t="shared" si="14"/>
        <v>620.6280818399999</v>
      </c>
      <c r="P57" s="58">
        <f t="shared" si="15"/>
        <v>621.8032900582099</v>
      </c>
      <c r="Q57" s="56">
        <f t="shared" si="5"/>
        <v>-1.1752082182099457</v>
      </c>
    </row>
    <row r="58" spans="2:17" ht="12.75">
      <c r="B58" s="31">
        <v>9</v>
      </c>
      <c r="C58" s="72">
        <v>729.57707204</v>
      </c>
      <c r="D58" s="89">
        <f t="shared" si="6"/>
        <v>7000</v>
      </c>
      <c r="E58" s="74">
        <f t="shared" si="7"/>
        <v>726.27707204</v>
      </c>
      <c r="F58" s="66">
        <f t="shared" si="8"/>
        <v>6968.8321855264585</v>
      </c>
      <c r="G58" s="64">
        <f t="shared" si="9"/>
        <v>724.9018091269388</v>
      </c>
      <c r="H58" s="89">
        <f t="shared" si="10"/>
        <v>6955.841829817638</v>
      </c>
      <c r="I58" s="74">
        <f t="shared" si="11"/>
        <v>0.1249420485273676</v>
      </c>
      <c r="J58" s="66">
        <f t="shared" si="12"/>
        <v>724.7768670784114</v>
      </c>
      <c r="K58" s="56">
        <f t="shared" si="13"/>
        <v>6954.66162413237</v>
      </c>
      <c r="O58" s="58">
        <f t="shared" si="14"/>
        <v>726.27707204</v>
      </c>
      <c r="P58" s="58">
        <f t="shared" si="15"/>
        <v>727.6523349530612</v>
      </c>
      <c r="Q58" s="56">
        <f t="shared" si="5"/>
        <v>-1.3752629130611922</v>
      </c>
    </row>
    <row r="59" spans="2:17" ht="12.75">
      <c r="B59" s="30">
        <v>10</v>
      </c>
      <c r="C59" s="71">
        <v>835.6997530399999</v>
      </c>
      <c r="D59" s="89">
        <f t="shared" si="6"/>
        <v>7999.999999999999</v>
      </c>
      <c r="E59" s="74">
        <f t="shared" si="7"/>
        <v>832.39975304</v>
      </c>
      <c r="F59" s="66">
        <f t="shared" si="8"/>
        <v>7968.971016081544</v>
      </c>
      <c r="G59" s="64">
        <f t="shared" si="9"/>
        <v>830.8235384612004</v>
      </c>
      <c r="H59" s="89">
        <f t="shared" si="10"/>
        <v>7954.148794454282</v>
      </c>
      <c r="I59" s="74">
        <f t="shared" si="11"/>
        <v>0.1402398415705884</v>
      </c>
      <c r="J59" s="66">
        <f t="shared" si="12"/>
        <v>830.6832986196298</v>
      </c>
      <c r="K59" s="56">
        <f t="shared" si="13"/>
        <v>7952.829976083577</v>
      </c>
      <c r="O59" s="58">
        <f t="shared" si="14"/>
        <v>832.39975304</v>
      </c>
      <c r="P59" s="58">
        <f t="shared" si="15"/>
        <v>833.9759676187995</v>
      </c>
      <c r="Q59" s="56">
        <f t="shared" si="5"/>
        <v>-1.5762145787995223</v>
      </c>
    </row>
    <row r="60" spans="2:17" ht="12.75">
      <c r="B60" s="31">
        <v>11</v>
      </c>
      <c r="C60" s="70">
        <v>942.29612484</v>
      </c>
      <c r="D60" s="89">
        <f t="shared" si="6"/>
        <v>9000</v>
      </c>
      <c r="E60" s="74">
        <f t="shared" si="7"/>
        <v>938.99612484</v>
      </c>
      <c r="F60" s="66">
        <f t="shared" si="8"/>
        <v>8969.10861525312</v>
      </c>
      <c r="G60" s="64">
        <f t="shared" si="9"/>
        <v>937.2180616245753</v>
      </c>
      <c r="H60" s="89">
        <f t="shared" si="10"/>
        <v>8952.46236537577</v>
      </c>
      <c r="I60" s="74">
        <f t="shared" si="11"/>
        <v>0.15553773584677857</v>
      </c>
      <c r="J60" s="66">
        <f t="shared" si="12"/>
        <v>937.0625238887285</v>
      </c>
      <c r="K60" s="56">
        <f t="shared" si="13"/>
        <v>8951.006160712248</v>
      </c>
      <c r="O60" s="58">
        <f t="shared" si="14"/>
        <v>938.99612484</v>
      </c>
      <c r="P60" s="58">
        <f t="shared" si="15"/>
        <v>940.7741880554247</v>
      </c>
      <c r="Q60" s="56">
        <f t="shared" si="5"/>
        <v>-1.7780632154247087</v>
      </c>
    </row>
    <row r="61" spans="2:17" ht="12.75">
      <c r="B61" s="30">
        <v>12</v>
      </c>
      <c r="C61" s="71">
        <v>1049.36618744</v>
      </c>
      <c r="D61" s="89">
        <f t="shared" si="6"/>
        <v>10000.000000000002</v>
      </c>
      <c r="E61" s="74">
        <f t="shared" si="7"/>
        <v>1046.06618744</v>
      </c>
      <c r="F61" s="66">
        <f t="shared" si="8"/>
        <v>9969.244999352943</v>
      </c>
      <c r="G61" s="64">
        <f t="shared" si="9"/>
        <v>1044.085378617063</v>
      </c>
      <c r="H61" s="89">
        <f t="shared" si="10"/>
        <v>9950.782455223198</v>
      </c>
      <c r="I61" s="74">
        <f t="shared" si="11"/>
        <v>0.1708357300172732</v>
      </c>
      <c r="J61" s="66">
        <f t="shared" si="12"/>
        <v>1043.9145428870459</v>
      </c>
      <c r="K61" s="56">
        <f t="shared" si="13"/>
        <v>9949.190074468148</v>
      </c>
      <c r="O61" s="58">
        <f t="shared" si="14"/>
        <v>1046.06618744</v>
      </c>
      <c r="P61" s="58">
        <f t="shared" si="15"/>
        <v>1048.046996262937</v>
      </c>
      <c r="Q61" s="56">
        <f t="shared" si="5"/>
        <v>-1.9808088229369787</v>
      </c>
    </row>
    <row r="62" spans="2:17" ht="12.75">
      <c r="B62" s="31">
        <v>13</v>
      </c>
      <c r="C62" s="43"/>
      <c r="D62" s="89">
        <f t="shared" si="6"/>
        <v>0.17892709776169163</v>
      </c>
      <c r="E62" s="74">
        <f t="shared" si="7"/>
        <v>-3.3</v>
      </c>
      <c r="F62" s="66">
        <f t="shared" si="8"/>
        <v>-31.996586896326153</v>
      </c>
      <c r="G62" s="64">
        <f t="shared" si="9"/>
        <v>-3.2937511897486247</v>
      </c>
      <c r="H62" s="89">
        <f t="shared" si="10"/>
        <v>-31.93565550432052</v>
      </c>
      <c r="I62" s="74">
        <f t="shared" si="11"/>
        <v>0.01786318642462631</v>
      </c>
      <c r="J62" s="66">
        <f t="shared" si="12"/>
        <v>-3.311614376173251</v>
      </c>
      <c r="K62" s="56">
        <f t="shared" si="13"/>
        <v>-32.10983731740144</v>
      </c>
      <c r="O62" s="58">
        <f t="shared" si="14"/>
        <v>-3.3</v>
      </c>
      <c r="P62" s="58">
        <f t="shared" si="15"/>
        <v>-3.306248810251375</v>
      </c>
      <c r="Q62" s="56">
        <f t="shared" si="5"/>
        <v>0.0062488102513751365</v>
      </c>
    </row>
    <row r="63" spans="2:17" ht="12.75">
      <c r="B63" s="32">
        <v>14</v>
      </c>
      <c r="C63" s="44"/>
      <c r="D63" s="89">
        <f t="shared" si="6"/>
        <v>0.17892709776169163</v>
      </c>
      <c r="E63" s="74">
        <f t="shared" si="7"/>
        <v>-3.3</v>
      </c>
      <c r="F63" s="66">
        <f t="shared" si="8"/>
        <v>-31.996586896326153</v>
      </c>
      <c r="G63" s="64">
        <f t="shared" si="9"/>
        <v>-3.2937511897486247</v>
      </c>
      <c r="H63" s="89">
        <f t="shared" si="10"/>
        <v>-31.93565550432052</v>
      </c>
      <c r="I63" s="74">
        <f t="shared" si="11"/>
        <v>0.01786318642462631</v>
      </c>
      <c r="J63" s="66">
        <f t="shared" si="12"/>
        <v>-3.311614376173251</v>
      </c>
      <c r="K63" s="56">
        <f t="shared" si="13"/>
        <v>-32.10983731740144</v>
      </c>
      <c r="O63" s="58">
        <f t="shared" si="14"/>
        <v>-3.3</v>
      </c>
      <c r="P63" s="58">
        <f t="shared" si="15"/>
        <v>-3.306248810251375</v>
      </c>
      <c r="Q63" s="56">
        <f t="shared" si="5"/>
        <v>0.0062488102513751365</v>
      </c>
    </row>
    <row r="64" spans="2:17" ht="13.5" thickBot="1">
      <c r="B64" s="33">
        <v>15</v>
      </c>
      <c r="C64" s="45"/>
      <c r="D64" s="94">
        <f t="shared" si="6"/>
        <v>0.17892709776169163</v>
      </c>
      <c r="E64" s="75">
        <f t="shared" si="7"/>
        <v>-3.3</v>
      </c>
      <c r="F64" s="68">
        <f t="shared" si="8"/>
        <v>-31.996586896326153</v>
      </c>
      <c r="G64" s="67">
        <f t="shared" si="9"/>
        <v>-3.2937511897486247</v>
      </c>
      <c r="H64" s="94">
        <f t="shared" si="10"/>
        <v>-31.93565550432052</v>
      </c>
      <c r="I64" s="75">
        <f t="shared" si="11"/>
        <v>0.01786318642462631</v>
      </c>
      <c r="J64" s="68">
        <f t="shared" si="12"/>
        <v>-3.311614376173251</v>
      </c>
      <c r="K64" s="61">
        <f t="shared" si="13"/>
        <v>-32.10983731740144</v>
      </c>
      <c r="O64" s="63">
        <f t="shared" si="14"/>
        <v>-3.3</v>
      </c>
      <c r="P64" s="63">
        <f t="shared" si="15"/>
        <v>-3.306248810251375</v>
      </c>
      <c r="Q64" s="61">
        <f t="shared" si="5"/>
        <v>0.0062488102513751365</v>
      </c>
    </row>
    <row r="65" spans="7:10" ht="12.75">
      <c r="G65" s="96"/>
      <c r="H65" s="96"/>
      <c r="J65" s="96"/>
    </row>
  </sheetData>
  <sheetProtection/>
  <mergeCells count="14">
    <mergeCell ref="L4:M4"/>
    <mergeCell ref="B11:B12"/>
    <mergeCell ref="B48:B49"/>
    <mergeCell ref="D48:D49"/>
    <mergeCell ref="A1:K1"/>
    <mergeCell ref="A2:K2"/>
    <mergeCell ref="D11:D12"/>
    <mergeCell ref="E30:G30"/>
    <mergeCell ref="A33:B33"/>
    <mergeCell ref="A30:B30"/>
    <mergeCell ref="A4:B4"/>
    <mergeCell ref="A32:B32"/>
    <mergeCell ref="E29:G29"/>
    <mergeCell ref="E4:G4"/>
  </mergeCells>
  <printOptions/>
  <pageMargins left="0.47" right="0.35" top="0.19" bottom="0.2" header="0.17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henry@mhforce.com</cp:lastModifiedBy>
  <cp:lastPrinted>2009-03-26T18:14:49Z</cp:lastPrinted>
  <dcterms:created xsi:type="dcterms:W3CDTF">2006-04-04T18:20:54Z</dcterms:created>
  <dcterms:modified xsi:type="dcterms:W3CDTF">2017-01-19T13:46:55Z</dcterms:modified>
  <cp:category/>
  <cp:version/>
  <cp:contentType/>
  <cp:contentStatus/>
</cp:coreProperties>
</file>