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https://mhforce.sharepoint.com/sites/Marketing/Shared Documents/Training/Class Presentations/Online Class with Dilip 2026/Certificate for MU/"/>
    </mc:Choice>
  </mc:AlternateContent>
  <xr:revisionPtr revIDLastSave="145" documentId="8_{B8209D1B-A9CD-4B86-8D19-8C31465D9068}" xr6:coauthVersionLast="47" xr6:coauthVersionMax="47" xr10:uidLastSave="{CEE26BA7-AB93-4A84-A5C8-4397FFC13452}"/>
  <bookViews>
    <workbookView xWindow="-28920" yWindow="-120" windowWidth="29040" windowHeight="15720" tabRatio="832" activeTab="3" xr2:uid="{00000000-000D-0000-FFFF-FFFF00000000}"/>
  </bookViews>
  <sheets>
    <sheet name="Instructions" sheetId="69" r:id="rId1"/>
    <sheet name="Validation Record" sheetId="76" r:id="rId2"/>
    <sheet name="Definitions" sheetId="71" r:id="rId3"/>
    <sheet name="Uncertainty Worksheet" sheetId="51" r:id="rId4"/>
    <sheet name="R &amp; R Between Techs" sheetId="57" r:id="rId5"/>
    <sheet name="CMC Summary" sheetId="27" r:id="rId6"/>
    <sheet name="1" sheetId="52" r:id="rId7"/>
    <sheet name="2" sheetId="58" r:id="rId8"/>
    <sheet name="3" sheetId="59" r:id="rId9"/>
    <sheet name="4" sheetId="60" r:id="rId10"/>
    <sheet name="5" sheetId="62" r:id="rId11"/>
    <sheet name="6" sheetId="61" r:id="rId12"/>
    <sheet name="7" sheetId="63" r:id="rId13"/>
    <sheet name="8" sheetId="64" r:id="rId14"/>
    <sheet name="9" sheetId="65" r:id="rId15"/>
    <sheet name="10" sheetId="66" r:id="rId16"/>
    <sheet name="11" sheetId="67" r:id="rId17"/>
    <sheet name="12" sheetId="68" r:id="rId18"/>
    <sheet name="Calc Resoution Ex" sheetId="72" r:id="rId19"/>
    <sheet name="PT Data Entry" sheetId="74" r:id="rId20"/>
    <sheet name="ILC Results " sheetId="75" r:id="rId21"/>
  </sheets>
  <externalReferences>
    <externalReference r:id="rId22"/>
    <externalReference r:id="rId23"/>
  </externalReferences>
  <definedNames>
    <definedName name="Coverage">[1]Blank_Uncertainty_Master!$N$1:$N$5</definedName>
    <definedName name="Distribution" localSheetId="6">'1'!$K$1:$L$12</definedName>
    <definedName name="Distribution" localSheetId="15">'10'!$K$1:$L$12</definedName>
    <definedName name="Distribution" localSheetId="16">'11'!$K$1:$L$12</definedName>
    <definedName name="Distribution" localSheetId="17">'12'!$K$1:$L$12</definedName>
    <definedName name="Distribution" localSheetId="7">'2'!$K$1:$L$12</definedName>
    <definedName name="Distribution" localSheetId="8">'3'!$K$1:$L$12</definedName>
    <definedName name="Distribution" localSheetId="9">'4'!$K$1:$L$12</definedName>
    <definedName name="Distribution" localSheetId="10">'5'!$K$1:$L$12</definedName>
    <definedName name="Distribution" localSheetId="11">'6'!$K$1:$L$12</definedName>
    <definedName name="Distribution" localSheetId="12">'7'!$K$1:$L$12</definedName>
    <definedName name="Distribution" localSheetId="13">'8'!$K$1:$L$12</definedName>
    <definedName name="Distribution" localSheetId="14">'9'!$K$1:$L$12</definedName>
    <definedName name="Distribution" localSheetId="4">'R &amp; R Between Techs'!$K$1:$L$12</definedName>
    <definedName name="Distribution" localSheetId="3">'Uncertainty Worksheet'!$K$47:$L$56</definedName>
    <definedName name="Distribution">#REF!</definedName>
    <definedName name="Divisor">'R &amp; R Between Techs'!$K$1:$L$12</definedName>
    <definedName name="FORCE">IF('[2]Data Entry'!$N$11="TENSION",OFFSET('[2]Data Entry'!$AO$72,0,0,COUNT('[2]Data Entry'!$AO$72:$AO$85)),OFFSET('[2]Data Entry'!$AO$22,0,0,COUNT('[2]Data Entry'!$AO$22:$AO$35)))</definedName>
    <definedName name="FORCET">OFFSET('[2]Data Entry'!$AO$72,0,0,COUNT('[2]Data Entry'!$AO$72:$AO$85))</definedName>
    <definedName name="_xlnm.Print_Area" localSheetId="6">'1'!$A$1:$O$25</definedName>
    <definedName name="_xlnm.Print_Area" localSheetId="15">'10'!$A$1:$O$25</definedName>
    <definedName name="_xlnm.Print_Area" localSheetId="16">'11'!$A$1:$O$25</definedName>
    <definedName name="_xlnm.Print_Area" localSheetId="17">'12'!$A$1:$O$25</definedName>
    <definedName name="_xlnm.Print_Area" localSheetId="7">'2'!$A$1:$O$25</definedName>
    <definedName name="_xlnm.Print_Area" localSheetId="8">'3'!$A$1:$O$25</definedName>
    <definedName name="_xlnm.Print_Area" localSheetId="9">'4'!$A$1:$O$25</definedName>
    <definedName name="_xlnm.Print_Area" localSheetId="10">'5'!$A$1:$O$25</definedName>
    <definedName name="_xlnm.Print_Area" localSheetId="11">'6'!$A$1:$O$25</definedName>
    <definedName name="_xlnm.Print_Area" localSheetId="12">'7'!$A$1:$O$25</definedName>
    <definedName name="_xlnm.Print_Area" localSheetId="13">'8'!$A$1:$O$25</definedName>
    <definedName name="_xlnm.Print_Area" localSheetId="14">'9'!$A$1:$O$25</definedName>
    <definedName name="_xlnm.Print_Area" localSheetId="5">'CMC Summary'!$N$21:$U$21</definedName>
    <definedName name="_xlnm.Print_Area" localSheetId="3">'Uncertainty Worksheet'!$A$47:$Q$82</definedName>
    <definedName name="_xlnm.Print_Area" localSheetId="1">'Validation Record'!$A$1:$F$66</definedName>
    <definedName name="RUN_1">IF('[2]Data Entry'!$N$11="TENSION",OFFSET('[2]Data Entry'!$AP$72,0,0,COUNT('[2]Data Entry'!$AP$72:$AP$85)),OFFSET('[2]Data Entry'!$AP$22,0,0,COUNT('[2]Data Entry'!$AP$22:$AP$35)))</definedName>
    <definedName name="RUN_1T">IF('[2]Data Entry'!$N$11="COMPRESSION &amp; TENSION",OFFSET('[2]Data Entry'!$AP$72,0,0,COUNT('[2]Data Entry'!$AP$72:$AP$85)),OFFSET('[2]Data Entry'!$AT$72,0,0,COUNT('[2]Data Entry'!$AT$72:$AT$85)))</definedName>
    <definedName name="RUN_2">IF('[2]Data Entry'!$N$11="TENSION",OFFSET('[2]Data Entry'!$AQ$72,0,0,COUNT('[2]Data Entry'!$AQ$72:$AQ$85)),OFFSET('[2]Data Entry'!$AQ$22,0,0,COUNT('[2]Data Entry'!$AQ$22:$AQ$35)))</definedName>
    <definedName name="RUN_2T">IF('[2]Data Entry'!$N$11="COMPRESSION &amp; TENSION",OFFSET('[2]Data Entry'!$AQ$72,0,0,COUNT('[2]Data Entry'!$AQ$72:$AQ$85)),OFFSET('[2]Data Entry'!$AT$72,0,0,COUNT('[2]Data Entry'!$AT$72:$AT$85)))</definedName>
    <definedName name="RUN_3">IF('[2]Data Entry'!$N$11="TENSION",OFFSET('[2]Data Entry'!$AR$72,0,0,COUNT('[2]Data Entry'!$AR$72:$AR$85)),OFFSET('[2]Data Entry'!$AR$22,0,0,COUNT('[2]Data Entry'!$AR$22:$AR$35)))</definedName>
    <definedName name="RUN_3T">IF('[2]Data Entry'!$N$11="COMPRESSION &amp; TENSION",OFFSET('[2]Data Entry'!$AR$72,0,0,COUNT('[2]Data Entry'!$AR$72:$AR$85)),OFFSET('[2]Data Entry'!$AT$72,0,0,COUNT('[2]Data Entry'!$AT$72:$AT$85)))</definedName>
    <definedName name="RUN_4">IF('[2]Data Entry'!$N$11="TENSION",OFFSET('[2]Data Entry'!$AS$72,0,0,COUNT('[2]Data Entry'!$AS$72:$AS$85)),OFFSET('[2]Data Entry'!$AS$22,0,0,COUNT('[2]Data Entry'!$AS$22:$AS$35)))</definedName>
    <definedName name="RUN_4T">IF('[2]Data Entry'!$N$11="COMPRESSION &amp; TENSION",OFFSET('[2]Data Entry'!$AS$72,0,0,COUNT('[2]Data Entry'!$AS$72:$AS$85)),OFFSET('[2]Data Entry'!$AT$72,0,0,COUNT('[2]Data Entry'!$AT$72:$AT$85)))</definedName>
    <definedName name="TecSign">INDIRECT('ILC Results '!#REF!)</definedName>
    <definedName name="xrange">INDIRECT(CONCATENATE("'CMC Summary'!$b$8:$b$",COUNT('CMC Summary'!$B$8:$B$19)+7))</definedName>
    <definedName name="YN" localSheetId="4">[1]Blank_Uncertainty_Master!$M$1:$M$2</definedName>
    <definedName name="yrange">INDIRECT(CONCATENATE("'CMC Summary'!$C$8:$C$",COUNT('CMC Summary'!$C$8:$C$19)+7))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7" i="51" l="1"/>
  <c r="E51" i="57"/>
  <c r="B31" i="51"/>
  <c r="F55" i="51"/>
  <c r="D10" i="63" l="1"/>
  <c r="E10" i="63" s="1"/>
  <c r="L24" i="68"/>
  <c r="L24" i="67"/>
  <c r="L24" i="66"/>
  <c r="L24" i="65"/>
  <c r="F21" i="64"/>
  <c r="L24" i="64"/>
  <c r="L24" i="63"/>
  <c r="L24" i="61"/>
  <c r="L24" i="62"/>
  <c r="L24" i="60"/>
  <c r="D8" i="52"/>
  <c r="L24" i="59"/>
  <c r="L24" i="58"/>
  <c r="K24" i="52"/>
  <c r="H31" i="51" a="1"/>
  <c r="H31" i="51" s="1"/>
  <c r="B32" i="51"/>
  <c r="B33" i="51"/>
  <c r="B34" i="51"/>
  <c r="B35" i="51"/>
  <c r="B36" i="51"/>
  <c r="B37" i="51"/>
  <c r="B38" i="51"/>
  <c r="B39" i="51"/>
  <c r="B40" i="51"/>
  <c r="B41" i="51"/>
  <c r="B42" i="51"/>
  <c r="I31" i="51" l="1" a="1"/>
  <c r="F80" i="51" l="1"/>
  <c r="F25" i="68" s="1"/>
  <c r="G75" i="51"/>
  <c r="G25" i="63" s="1"/>
  <c r="G77" i="51"/>
  <c r="G25" i="65" s="1"/>
  <c r="G79" i="51"/>
  <c r="G25" i="67" s="1"/>
  <c r="G76" i="51"/>
  <c r="G25" i="64" s="1"/>
  <c r="G78" i="51"/>
  <c r="G25" i="66" s="1"/>
  <c r="G80" i="51"/>
  <c r="G25" i="68" s="1"/>
  <c r="G70" i="51"/>
  <c r="G25" i="58" s="1"/>
  <c r="G71" i="51"/>
  <c r="G25" i="59" s="1"/>
  <c r="G72" i="51"/>
  <c r="G25" i="60" s="1"/>
  <c r="G73" i="51"/>
  <c r="G25" i="62" s="1"/>
  <c r="G74" i="51"/>
  <c r="G25" i="61" s="1"/>
  <c r="I31" i="51"/>
  <c r="F71" i="51"/>
  <c r="F25" i="59" s="1"/>
  <c r="F74" i="51"/>
  <c r="F25" i="61" s="1"/>
  <c r="F75" i="51"/>
  <c r="F25" i="63" s="1"/>
  <c r="F76" i="51"/>
  <c r="F25" i="64" s="1"/>
  <c r="F78" i="51"/>
  <c r="F25" i="66" s="1"/>
  <c r="F79" i="51"/>
  <c r="F25" i="67" s="1"/>
  <c r="F70" i="51"/>
  <c r="F25" i="58" s="1"/>
  <c r="F72" i="51"/>
  <c r="F25" i="60" s="1"/>
  <c r="F73" i="51"/>
  <c r="F25" i="62" s="1"/>
  <c r="F77" i="51"/>
  <c r="F25" i="65" s="1"/>
  <c r="C70" i="51"/>
  <c r="B75" i="51"/>
  <c r="B25" i="63" s="1"/>
  <c r="B76" i="51"/>
  <c r="B25" i="64" s="1"/>
  <c r="B77" i="51"/>
  <c r="B25" i="65" s="1"/>
  <c r="Y16" i="51"/>
  <c r="Y17" i="51"/>
  <c r="Y18" i="51"/>
  <c r="B69" i="51"/>
  <c r="B25" i="52" s="1"/>
  <c r="R7" i="51"/>
  <c r="AF6" i="51" s="1"/>
  <c r="Y8" i="51"/>
  <c r="Y9" i="51"/>
  <c r="Y10" i="51"/>
  <c r="Y11" i="51"/>
  <c r="Y12" i="51"/>
  <c r="Y13" i="51"/>
  <c r="Y14" i="51"/>
  <c r="Y15" i="51"/>
  <c r="Y7" i="51"/>
  <c r="Z8" i="51"/>
  <c r="R8" i="51"/>
  <c r="B70" i="51"/>
  <c r="B25" i="58" s="1"/>
  <c r="B71" i="51"/>
  <c r="B25" i="59" s="1"/>
  <c r="B72" i="51"/>
  <c r="B25" i="60" s="1"/>
  <c r="B73" i="51"/>
  <c r="B25" i="62" s="1"/>
  <c r="B74" i="51"/>
  <c r="B25" i="61" s="1"/>
  <c r="B55" i="51"/>
  <c r="K16" i="51"/>
  <c r="M16" i="51" s="1"/>
  <c r="M17" i="51"/>
  <c r="K18" i="51"/>
  <c r="M18" i="51" s="1"/>
  <c r="K19" i="51"/>
  <c r="M19" i="51" s="1"/>
  <c r="K20" i="51"/>
  <c r="M20" i="51" s="1"/>
  <c r="K21" i="51"/>
  <c r="M21" i="51" s="1"/>
  <c r="K22" i="51"/>
  <c r="M22" i="51" s="1"/>
  <c r="K23" i="51"/>
  <c r="M23" i="51" s="1"/>
  <c r="K24" i="51"/>
  <c r="M24" i="51" s="1"/>
  <c r="K25" i="51"/>
  <c r="M25" i="51" s="1"/>
  <c r="K26" i="51"/>
  <c r="M26" i="51" s="1"/>
  <c r="K15" i="51"/>
  <c r="M15" i="51" s="1"/>
  <c r="C14" i="51"/>
  <c r="M14" i="51" s="1"/>
  <c r="G69" i="51" l="1"/>
  <c r="G25" i="52" s="1"/>
  <c r="F69" i="51"/>
  <c r="E69" i="51"/>
  <c r="AA8" i="51"/>
  <c r="AF7" i="51"/>
  <c r="B78" i="51"/>
  <c r="B25" i="66" s="1"/>
  <c r="D14" i="51"/>
  <c r="J1" i="75" l="1"/>
  <c r="M2" i="75"/>
  <c r="A4" i="75"/>
  <c r="J4" i="75"/>
  <c r="J6" i="75"/>
  <c r="A7" i="75"/>
  <c r="J7" i="75"/>
  <c r="A8" i="75"/>
  <c r="J8" i="75"/>
  <c r="A9" i="75"/>
  <c r="J9" i="75"/>
  <c r="C24" i="74"/>
  <c r="C26" i="74"/>
  <c r="G27" i="74"/>
  <c r="U27" i="74"/>
  <c r="V27" i="74"/>
  <c r="W27" i="74"/>
  <c r="AF27" i="74"/>
  <c r="AG27" i="74"/>
  <c r="AH27" i="74"/>
  <c r="L28" i="74"/>
  <c r="N28" i="74" s="1"/>
  <c r="G47" i="74" s="1"/>
  <c r="H23" i="75" s="1"/>
  <c r="S28" i="74"/>
  <c r="AK27" i="74" s="1"/>
  <c r="AG28" i="74"/>
  <c r="AH28" i="74"/>
  <c r="C29" i="74"/>
  <c r="L29" i="74"/>
  <c r="S29" i="74"/>
  <c r="AG29" i="74"/>
  <c r="AH29" i="74"/>
  <c r="C30" i="74"/>
  <c r="AF29" i="74" s="1"/>
  <c r="L30" i="74"/>
  <c r="S30" i="74"/>
  <c r="AG30" i="74"/>
  <c r="AH30" i="74"/>
  <c r="C31" i="74"/>
  <c r="AF30" i="74" s="1"/>
  <c r="L31" i="74"/>
  <c r="S31" i="74"/>
  <c r="AG31" i="74"/>
  <c r="AH31" i="74"/>
  <c r="C32" i="74"/>
  <c r="D51" i="74" s="1"/>
  <c r="F31" i="75" s="1"/>
  <c r="L32" i="74"/>
  <c r="S32" i="74"/>
  <c r="AG32" i="74"/>
  <c r="AH32" i="74"/>
  <c r="C33" i="74"/>
  <c r="L33" i="74"/>
  <c r="S33" i="74"/>
  <c r="AG33" i="74"/>
  <c r="AH33" i="74"/>
  <c r="C34" i="74"/>
  <c r="C53" i="74" s="1"/>
  <c r="L34" i="74"/>
  <c r="S34" i="74"/>
  <c r="AG34" i="74"/>
  <c r="AH34" i="74"/>
  <c r="C35" i="74"/>
  <c r="AF34" i="74" s="1"/>
  <c r="L35" i="74"/>
  <c r="S35" i="74"/>
  <c r="AG35" i="74"/>
  <c r="AH35" i="74"/>
  <c r="C36" i="74"/>
  <c r="AF35" i="74" s="1"/>
  <c r="L36" i="74"/>
  <c r="S36" i="74"/>
  <c r="AG36" i="74"/>
  <c r="AH36" i="74"/>
  <c r="C37" i="74"/>
  <c r="AF36" i="74" s="1"/>
  <c r="L37" i="74"/>
  <c r="S37" i="74"/>
  <c r="AG37" i="74"/>
  <c r="AH37" i="74"/>
  <c r="C38" i="74"/>
  <c r="L38" i="74"/>
  <c r="S38" i="74"/>
  <c r="U39" i="74"/>
  <c r="V39" i="74"/>
  <c r="W39" i="74"/>
  <c r="C45" i="74"/>
  <c r="C46" i="74"/>
  <c r="G46" i="74"/>
  <c r="H46" i="74"/>
  <c r="C47" i="74"/>
  <c r="D47" i="74"/>
  <c r="F23" i="75" s="1"/>
  <c r="AK29" i="74" l="1"/>
  <c r="N31" i="74"/>
  <c r="G50" i="74" s="1"/>
  <c r="H29" i="75" s="1"/>
  <c r="AK30" i="74"/>
  <c r="H35" i="74"/>
  <c r="H54" i="74" s="1"/>
  <c r="J37" i="75" s="1"/>
  <c r="W30" i="74"/>
  <c r="N29" i="74"/>
  <c r="G48" i="74" s="1"/>
  <c r="H25" i="75" s="1"/>
  <c r="V28" i="74"/>
  <c r="D56" i="74"/>
  <c r="F41" i="75" s="1"/>
  <c r="C48" i="74"/>
  <c r="H31" i="74"/>
  <c r="H50" i="74" s="1"/>
  <c r="J29" i="75" s="1"/>
  <c r="AF28" i="74"/>
  <c r="H29" i="74" s="1"/>
  <c r="H48" i="74" s="1"/>
  <c r="J25" i="75" s="1"/>
  <c r="AK36" i="74"/>
  <c r="C56" i="74"/>
  <c r="N32" i="74"/>
  <c r="G51" i="74" s="1"/>
  <c r="H31" i="75" s="1"/>
  <c r="AK37" i="74"/>
  <c r="D53" i="74"/>
  <c r="F35" i="75" s="1"/>
  <c r="C51" i="74"/>
  <c r="D50" i="74"/>
  <c r="F29" i="75" s="1"/>
  <c r="N33" i="74"/>
  <c r="G52" i="74" s="1"/>
  <c r="H33" i="75" s="1"/>
  <c r="C50" i="74"/>
  <c r="D49" i="74"/>
  <c r="F27" i="75" s="1"/>
  <c r="D48" i="74"/>
  <c r="F25" i="75" s="1"/>
  <c r="A43" i="75"/>
  <c r="N34" i="74"/>
  <c r="G53" i="74" s="1"/>
  <c r="H35" i="75" s="1"/>
  <c r="H28" i="74"/>
  <c r="H47" i="74" s="1"/>
  <c r="J23" i="75" s="1"/>
  <c r="H37" i="74"/>
  <c r="H56" i="74" s="1"/>
  <c r="J41" i="75" s="1"/>
  <c r="U31" i="74"/>
  <c r="A11" i="75"/>
  <c r="W37" i="74"/>
  <c r="C49" i="74"/>
  <c r="N30" i="74"/>
  <c r="G49" i="74" s="1"/>
  <c r="H27" i="75" s="1"/>
  <c r="V38" i="74"/>
  <c r="H30" i="74"/>
  <c r="H49" i="74" s="1"/>
  <c r="J27" i="75" s="1"/>
  <c r="H36" i="74"/>
  <c r="H55" i="74" s="1"/>
  <c r="J39" i="75" s="1"/>
  <c r="AK35" i="74"/>
  <c r="U28" i="74"/>
  <c r="U29" i="74"/>
  <c r="A25" i="75"/>
  <c r="AF37" i="74"/>
  <c r="H38" i="74" s="1"/>
  <c r="H57" i="74" s="1"/>
  <c r="J43" i="75" s="1"/>
  <c r="D52" i="74"/>
  <c r="W36" i="74"/>
  <c r="A33" i="75"/>
  <c r="V37" i="74"/>
  <c r="AF33" i="74"/>
  <c r="H34" i="74" s="1"/>
  <c r="H53" i="74" s="1"/>
  <c r="J35" i="75" s="1"/>
  <c r="D57" i="74"/>
  <c r="C52" i="74"/>
  <c r="U37" i="74"/>
  <c r="V36" i="74"/>
  <c r="W35" i="74"/>
  <c r="AF32" i="74"/>
  <c r="H33" i="74" s="1"/>
  <c r="H52" i="74" s="1"/>
  <c r="J33" i="75" s="1"/>
  <c r="AK28" i="74"/>
  <c r="A41" i="75"/>
  <c r="U38" i="74"/>
  <c r="C57" i="74"/>
  <c r="U36" i="74"/>
  <c r="V35" i="74"/>
  <c r="W34" i="74"/>
  <c r="AF31" i="74"/>
  <c r="H32" i="74" s="1"/>
  <c r="H51" i="74" s="1"/>
  <c r="J31" i="75" s="1"/>
  <c r="AK33" i="74"/>
  <c r="D55" i="74"/>
  <c r="N38" i="74"/>
  <c r="G57" i="74" s="1"/>
  <c r="H43" i="75" s="1"/>
  <c r="V34" i="74"/>
  <c r="A39" i="75"/>
  <c r="A35" i="75"/>
  <c r="A31" i="75"/>
  <c r="A27" i="75"/>
  <c r="A23" i="75"/>
  <c r="A29" i="75"/>
  <c r="U35" i="74"/>
  <c r="W33" i="74"/>
  <c r="C55" i="74"/>
  <c r="N37" i="74"/>
  <c r="G56" i="74" s="1"/>
  <c r="H41" i="75" s="1"/>
  <c r="U34" i="74"/>
  <c r="V33" i="74"/>
  <c r="W32" i="74"/>
  <c r="N36" i="74"/>
  <c r="G55" i="74" s="1"/>
  <c r="H39" i="75" s="1"/>
  <c r="U33" i="74"/>
  <c r="V32" i="74"/>
  <c r="W31" i="74"/>
  <c r="U32" i="74"/>
  <c r="V31" i="74"/>
  <c r="N35" i="74"/>
  <c r="G54" i="74" s="1"/>
  <c r="H37" i="75" s="1"/>
  <c r="V30" i="74"/>
  <c r="W29" i="74"/>
  <c r="U30" i="74"/>
  <c r="V29" i="74"/>
  <c r="W28" i="74"/>
  <c r="AK34" i="74"/>
  <c r="C54" i="74"/>
  <c r="AK32" i="74"/>
  <c r="W38" i="74"/>
  <c r="AK31" i="74"/>
  <c r="A37" i="75"/>
  <c r="D54" i="74"/>
  <c r="Q51" i="51"/>
  <c r="Q53" i="51"/>
  <c r="Q55" i="51"/>
  <c r="Q56" i="51"/>
  <c r="Q57" i="51"/>
  <c r="Q58" i="51"/>
  <c r="Q59" i="51"/>
  <c r="Q50" i="51"/>
  <c r="W30" i="51"/>
  <c r="X30" i="51" s="1"/>
  <c r="E57" i="51"/>
  <c r="Q52" i="51"/>
  <c r="Q54" i="51"/>
  <c r="R49" i="51"/>
  <c r="Z9" i="51"/>
  <c r="Z10" i="51"/>
  <c r="Z11" i="51"/>
  <c r="Z12" i="51"/>
  <c r="Z13" i="51"/>
  <c r="Z14" i="51"/>
  <c r="Z15" i="51"/>
  <c r="Z16" i="51"/>
  <c r="Z17" i="51"/>
  <c r="Z18" i="51"/>
  <c r="Z7" i="51"/>
  <c r="J31" i="51" a="1"/>
  <c r="J31" i="51" s="1"/>
  <c r="J43" i="51" s="1"/>
  <c r="S85" i="51"/>
  <c r="S86" i="51"/>
  <c r="S87" i="51"/>
  <c r="S88" i="51"/>
  <c r="S89" i="51"/>
  <c r="S90" i="51"/>
  <c r="S91" i="51"/>
  <c r="S92" i="51"/>
  <c r="S93" i="51"/>
  <c r="S94" i="51"/>
  <c r="S95" i="51"/>
  <c r="S84" i="51"/>
  <c r="X30" i="74" l="1"/>
  <c r="X31" i="74"/>
  <c r="X29" i="74"/>
  <c r="X36" i="74"/>
  <c r="X28" i="74"/>
  <c r="AG57" i="74"/>
  <c r="AK39" i="74"/>
  <c r="AE7" i="51"/>
  <c r="Q60" i="51"/>
  <c r="B79" i="51"/>
  <c r="B25" i="67" s="1"/>
  <c r="Q61" i="51"/>
  <c r="B80" i="51"/>
  <c r="B25" i="68" s="1"/>
  <c r="F43" i="75"/>
  <c r="F39" i="75"/>
  <c r="X35" i="74"/>
  <c r="X38" i="74"/>
  <c r="F33" i="75"/>
  <c r="X34" i="74"/>
  <c r="X32" i="74"/>
  <c r="F37" i="75"/>
  <c r="X33" i="74"/>
  <c r="X37" i="74"/>
  <c r="R50" i="51"/>
  <c r="C59" i="27" l="1"/>
  <c r="F28" i="27"/>
  <c r="E52" i="57"/>
  <c r="F7" i="57" l="1"/>
  <c r="E4" i="57" l="1"/>
  <c r="J57" i="27" a="1"/>
  <c r="H57" i="27" a="1"/>
  <c r="H57" i="27" s="1"/>
  <c r="F57" i="27" a="1"/>
  <c r="F57" i="27" s="1"/>
  <c r="J57" i="27" l="1"/>
  <c r="D61" i="27" s="1"/>
  <c r="D62" i="27"/>
  <c r="D57" i="27" a="1"/>
  <c r="D57" i="27" s="1"/>
  <c r="B57" i="27" a="1"/>
  <c r="B57" i="27" s="1"/>
  <c r="L9" i="27"/>
  <c r="T6" i="51"/>
  <c r="AB8" i="51" l="1"/>
  <c r="T12" i="51"/>
  <c r="T13" i="51"/>
  <c r="T14" i="51"/>
  <c r="T15" i="51"/>
  <c r="T16" i="51"/>
  <c r="T17" i="51"/>
  <c r="T18" i="51"/>
  <c r="T7" i="51"/>
  <c r="T8" i="51"/>
  <c r="T9" i="51"/>
  <c r="T10" i="51"/>
  <c r="T11" i="51"/>
  <c r="C60" i="57"/>
  <c r="F8" i="57"/>
  <c r="AC8" i="51" l="1"/>
  <c r="AB7" i="51"/>
  <c r="AA7" i="51"/>
  <c r="B57" i="51"/>
  <c r="C61" i="57"/>
  <c r="AD7" i="51" l="1" a="1"/>
  <c r="AD7" i="51" s="1"/>
  <c r="AD8" i="51" a="1"/>
  <c r="AD8" i="51" s="1"/>
  <c r="AC7" i="51"/>
  <c r="C62" i="57"/>
  <c r="R9" i="51"/>
  <c r="R10" i="51"/>
  <c r="D10" i="57"/>
  <c r="AA10" i="51" l="1"/>
  <c r="AB10" i="51"/>
  <c r="AA9" i="51"/>
  <c r="AB9" i="51"/>
  <c r="C63" i="57"/>
  <c r="D11" i="57"/>
  <c r="D12" i="57"/>
  <c r="D13" i="57"/>
  <c r="D14" i="57"/>
  <c r="D15" i="57"/>
  <c r="D16" i="57"/>
  <c r="F21" i="68"/>
  <c r="F21" i="67"/>
  <c r="F21" i="66"/>
  <c r="F21" i="65"/>
  <c r="F21" i="63"/>
  <c r="F21" i="61"/>
  <c r="F21" i="62"/>
  <c r="F21" i="60"/>
  <c r="F21" i="59"/>
  <c r="D10" i="68"/>
  <c r="E10" i="68" s="1"/>
  <c r="C10" i="68"/>
  <c r="D10" i="67"/>
  <c r="E10" i="67" s="1"/>
  <c r="C10" i="67"/>
  <c r="D10" i="66"/>
  <c r="E10" i="66" s="1"/>
  <c r="C10" i="66"/>
  <c r="D10" i="65"/>
  <c r="E10" i="65" s="1"/>
  <c r="C10" i="65"/>
  <c r="D10" i="64"/>
  <c r="E10" i="64" s="1"/>
  <c r="C10" i="64"/>
  <c r="C10" i="63"/>
  <c r="D10" i="61"/>
  <c r="E10" i="61" s="1"/>
  <c r="C10" i="61"/>
  <c r="D10" i="62"/>
  <c r="E10" i="62" s="1"/>
  <c r="C10" i="62"/>
  <c r="D10" i="59"/>
  <c r="E10" i="59" s="1"/>
  <c r="C10" i="59"/>
  <c r="D10" i="60"/>
  <c r="E10" i="60" s="1"/>
  <c r="C10" i="60"/>
  <c r="AD10" i="51" l="1" a="1"/>
  <c r="AD10" i="51" s="1"/>
  <c r="AD9" i="51" a="1"/>
  <c r="AD9" i="51" s="1"/>
  <c r="AC10" i="51"/>
  <c r="AC9" i="51"/>
  <c r="R11" i="51"/>
  <c r="L7" i="57"/>
  <c r="F21" i="58"/>
  <c r="AB11" i="51" l="1"/>
  <c r="AA11" i="51"/>
  <c r="AD11" i="51" s="1" a="1"/>
  <c r="AD11" i="51" s="1"/>
  <c r="C64" i="57"/>
  <c r="F12" i="57"/>
  <c r="F13" i="57"/>
  <c r="F21" i="52"/>
  <c r="AC11" i="51" l="1"/>
  <c r="R12" i="51"/>
  <c r="F53" i="51"/>
  <c r="AB12" i="51" l="1"/>
  <c r="AA12" i="51"/>
  <c r="AD12" i="51" s="1" a="1"/>
  <c r="AD12" i="51" s="1"/>
  <c r="C65" i="57"/>
  <c r="G45" i="57"/>
  <c r="E9" i="57"/>
  <c r="E8" i="57"/>
  <c r="E7" i="57"/>
  <c r="AC12" i="51" l="1"/>
  <c r="R13" i="51"/>
  <c r="C26" i="72"/>
  <c r="F32" i="72"/>
  <c r="F33" i="72"/>
  <c r="F34" i="72"/>
  <c r="F35" i="72"/>
  <c r="F36" i="72"/>
  <c r="C19" i="72"/>
  <c r="C6" i="72"/>
  <c r="F38" i="72" l="1"/>
  <c r="AA13" i="51"/>
  <c r="AB13" i="51"/>
  <c r="R14" i="51"/>
  <c r="C66" i="57"/>
  <c r="C9" i="72"/>
  <c r="AD13" i="51" l="1" a="1"/>
  <c r="AD13" i="51" s="1"/>
  <c r="AC13" i="51"/>
  <c r="AA14" i="51"/>
  <c r="AB14" i="51"/>
  <c r="W31" i="51"/>
  <c r="X31" i="51" s="1"/>
  <c r="W32" i="51"/>
  <c r="X32" i="51" s="1"/>
  <c r="W33" i="51"/>
  <c r="X33" i="51" s="1"/>
  <c r="W34" i="51"/>
  <c r="X34" i="51" s="1"/>
  <c r="W35" i="51"/>
  <c r="X35" i="51" s="1"/>
  <c r="W36" i="51"/>
  <c r="X36" i="51" s="1"/>
  <c r="W37" i="51"/>
  <c r="X37" i="51" s="1"/>
  <c r="AD14" i="51" l="1" a="1"/>
  <c r="AD14" i="51" s="1"/>
  <c r="AC14" i="51"/>
  <c r="O31" i="51"/>
  <c r="C67" i="57" l="1"/>
  <c r="R15" i="51"/>
  <c r="W38" i="51"/>
  <c r="X38" i="51" s="1"/>
  <c r="X29" i="51"/>
  <c r="AB15" i="51" l="1"/>
  <c r="AA15" i="51"/>
  <c r="AD15" i="51" s="1" a="1"/>
  <c r="AD15" i="51" s="1"/>
  <c r="C68" i="57"/>
  <c r="D16" i="68"/>
  <c r="E16" i="68" s="1"/>
  <c r="C16" i="68"/>
  <c r="D16" i="67"/>
  <c r="E16" i="67" s="1"/>
  <c r="C16" i="67"/>
  <c r="D16" i="66"/>
  <c r="E16" i="66" s="1"/>
  <c r="C16" i="66"/>
  <c r="D16" i="65"/>
  <c r="E16" i="65" s="1"/>
  <c r="C16" i="65"/>
  <c r="D16" i="64"/>
  <c r="E16" i="64" s="1"/>
  <c r="C16" i="64"/>
  <c r="D16" i="63"/>
  <c r="E16" i="63" s="1"/>
  <c r="C16" i="63"/>
  <c r="D16" i="61"/>
  <c r="E16" i="61" s="1"/>
  <c r="C16" i="61"/>
  <c r="D16" i="62"/>
  <c r="E16" i="62" s="1"/>
  <c r="C16" i="62"/>
  <c r="D16" i="60"/>
  <c r="E16" i="60" s="1"/>
  <c r="C16" i="60"/>
  <c r="D16" i="59"/>
  <c r="E16" i="59" s="1"/>
  <c r="C16" i="59"/>
  <c r="D16" i="58"/>
  <c r="E16" i="58" s="1"/>
  <c r="C16" i="58"/>
  <c r="F62" i="51"/>
  <c r="F18" i="52" s="1"/>
  <c r="F60" i="51"/>
  <c r="D16" i="52"/>
  <c r="E16" i="52" s="1"/>
  <c r="C16" i="52"/>
  <c r="Q82" i="51"/>
  <c r="Q85" i="51"/>
  <c r="Q86" i="51"/>
  <c r="Q87" i="51"/>
  <c r="Q88" i="51"/>
  <c r="Q89" i="51"/>
  <c r="Q90" i="51"/>
  <c r="Q91" i="51"/>
  <c r="Q92" i="51"/>
  <c r="Q84" i="51"/>
  <c r="R83" i="51"/>
  <c r="AC15" i="51" l="1"/>
  <c r="W39" i="51"/>
  <c r="X39" i="51" s="1"/>
  <c r="R16" i="51"/>
  <c r="R18" i="51"/>
  <c r="W41" i="51"/>
  <c r="X41" i="51" s="1"/>
  <c r="A60" i="51"/>
  <c r="Q48" i="51"/>
  <c r="F16" i="57"/>
  <c r="C16" i="57"/>
  <c r="E60" i="51"/>
  <c r="E16" i="57" s="1"/>
  <c r="D61" i="51"/>
  <c r="D17" i="57" s="1"/>
  <c r="AA16" i="51" l="1"/>
  <c r="AB16" i="51"/>
  <c r="C71" i="57"/>
  <c r="C69" i="57"/>
  <c r="Q93" i="51"/>
  <c r="Q95" i="51"/>
  <c r="A16" i="57"/>
  <c r="A16" i="60"/>
  <c r="A16" i="59"/>
  <c r="A16" i="64"/>
  <c r="A16" i="52"/>
  <c r="A16" i="68"/>
  <c r="A16" i="58"/>
  <c r="A16" i="63"/>
  <c r="A16" i="67"/>
  <c r="A16" i="61"/>
  <c r="A16" i="66"/>
  <c r="A16" i="62"/>
  <c r="A16" i="65"/>
  <c r="A55" i="51"/>
  <c r="AD16" i="51" l="1" a="1"/>
  <c r="AD16" i="51" s="1"/>
  <c r="AC16" i="51"/>
  <c r="R17" i="51"/>
  <c r="W40" i="51"/>
  <c r="X40" i="51" s="1"/>
  <c r="AA18" i="51" l="1"/>
  <c r="AB18" i="51"/>
  <c r="AA17" i="51"/>
  <c r="AB17" i="51"/>
  <c r="C70" i="57"/>
  <c r="J51" i="57"/>
  <c r="Q94" i="51"/>
  <c r="AD18" i="51" l="1" a="1"/>
  <c r="AD18" i="51" s="1"/>
  <c r="AD17" i="51" a="1"/>
  <c r="AD17" i="51" s="1"/>
  <c r="AC18" i="51"/>
  <c r="AC17" i="51"/>
  <c r="R84" i="51" a="1"/>
  <c r="F11" i="68"/>
  <c r="F11" i="67"/>
  <c r="F11" i="66"/>
  <c r="F11" i="65"/>
  <c r="F11" i="64"/>
  <c r="F11" i="63"/>
  <c r="F11" i="61"/>
  <c r="F11" i="62"/>
  <c r="F11" i="60"/>
  <c r="F11" i="59"/>
  <c r="F11" i="58"/>
  <c r="F11" i="52"/>
  <c r="Q7" i="51" l="1" a="1"/>
  <c r="Q7" i="51" s="1"/>
  <c r="B58" i="51" s="1"/>
  <c r="B14" i="57" s="1"/>
  <c r="R84" i="51"/>
  <c r="B16" i="60"/>
  <c r="G16" i="60" s="1"/>
  <c r="B16" i="59"/>
  <c r="G16" i="59" s="1"/>
  <c r="B16" i="63"/>
  <c r="G16" i="63" s="1"/>
  <c r="B16" i="58"/>
  <c r="G16" i="58" s="1"/>
  <c r="B16" i="65"/>
  <c r="G16" i="65" s="1"/>
  <c r="B16" i="61"/>
  <c r="G16" i="61" s="1"/>
  <c r="B16" i="64"/>
  <c r="G16" i="64" s="1"/>
  <c r="B16" i="62"/>
  <c r="G16" i="62" s="1"/>
  <c r="B16" i="66"/>
  <c r="G16" i="66" s="1"/>
  <c r="B16" i="68"/>
  <c r="G16" i="68" s="1"/>
  <c r="B16" i="67"/>
  <c r="G16" i="67" s="1"/>
  <c r="B14" i="66" l="1"/>
  <c r="B14" i="58"/>
  <c r="B14" i="62"/>
  <c r="B14" i="60"/>
  <c r="B14" i="61"/>
  <c r="B14" i="64"/>
  <c r="B14" i="68"/>
  <c r="B14" i="65"/>
  <c r="B14" i="59"/>
  <c r="B14" i="63"/>
  <c r="B14" i="52"/>
  <c r="B14" i="67"/>
  <c r="J16" i="64"/>
  <c r="H16" i="64"/>
  <c r="H16" i="58"/>
  <c r="J16" i="58"/>
  <c r="J16" i="63"/>
  <c r="H16" i="63"/>
  <c r="H16" i="61"/>
  <c r="J16" i="61"/>
  <c r="H16" i="68"/>
  <c r="J16" i="68"/>
  <c r="H16" i="66"/>
  <c r="J16" i="66"/>
  <c r="H16" i="60"/>
  <c r="J16" i="60"/>
  <c r="H16" i="65"/>
  <c r="J16" i="65"/>
  <c r="H16" i="67"/>
  <c r="J16" i="67"/>
  <c r="H16" i="59"/>
  <c r="J16" i="59"/>
  <c r="J16" i="62"/>
  <c r="H16" i="62"/>
  <c r="B60" i="51" a="1"/>
  <c r="B60" i="51" s="1"/>
  <c r="B16" i="57" s="1"/>
  <c r="B16" i="52"/>
  <c r="G16" i="52" s="1"/>
  <c r="H16" i="52" l="1"/>
  <c r="J16" i="52"/>
  <c r="F3" i="57"/>
  <c r="D18" i="68" l="1"/>
  <c r="E18" i="68" s="1"/>
  <c r="C18" i="68"/>
  <c r="D15" i="68"/>
  <c r="E15" i="68" s="1"/>
  <c r="C15" i="68"/>
  <c r="A15" i="68"/>
  <c r="D14" i="68"/>
  <c r="E14" i="68" s="1"/>
  <c r="C14" i="68"/>
  <c r="A14" i="68"/>
  <c r="D13" i="68"/>
  <c r="E13" i="68" s="1"/>
  <c r="C13" i="68"/>
  <c r="A13" i="68"/>
  <c r="D12" i="68"/>
  <c r="E12" i="68" s="1"/>
  <c r="C12" i="68"/>
  <c r="A12" i="68"/>
  <c r="D11" i="68"/>
  <c r="E11" i="68" s="1"/>
  <c r="C11" i="68"/>
  <c r="A11" i="68"/>
  <c r="B11" i="68" s="1"/>
  <c r="A10" i="68"/>
  <c r="D8" i="68"/>
  <c r="E8" i="68" s="1"/>
  <c r="A8" i="68"/>
  <c r="D7" i="68"/>
  <c r="E7" i="68" s="1"/>
  <c r="A7" i="68"/>
  <c r="D18" i="67"/>
  <c r="E18" i="67" s="1"/>
  <c r="C18" i="67"/>
  <c r="D15" i="67"/>
  <c r="E15" i="67" s="1"/>
  <c r="C15" i="67"/>
  <c r="A15" i="67"/>
  <c r="D14" i="67"/>
  <c r="E14" i="67" s="1"/>
  <c r="C14" i="67"/>
  <c r="A14" i="67"/>
  <c r="D13" i="67"/>
  <c r="E13" i="67" s="1"/>
  <c r="C13" i="67"/>
  <c r="A13" i="67"/>
  <c r="D12" i="67"/>
  <c r="E12" i="67" s="1"/>
  <c r="C12" i="67"/>
  <c r="A12" i="67"/>
  <c r="D11" i="67"/>
  <c r="E11" i="67" s="1"/>
  <c r="C11" i="67"/>
  <c r="A11" i="67"/>
  <c r="B11" i="67" s="1"/>
  <c r="A10" i="67"/>
  <c r="D8" i="67"/>
  <c r="E8" i="67" s="1"/>
  <c r="A8" i="67"/>
  <c r="D7" i="67"/>
  <c r="E7" i="67" s="1"/>
  <c r="A7" i="67"/>
  <c r="D18" i="66"/>
  <c r="E18" i="66" s="1"/>
  <c r="C18" i="66"/>
  <c r="D15" i="66"/>
  <c r="E15" i="66" s="1"/>
  <c r="C15" i="66"/>
  <c r="A15" i="66"/>
  <c r="D14" i="66"/>
  <c r="E14" i="66" s="1"/>
  <c r="C14" i="66"/>
  <c r="A14" i="66"/>
  <c r="D13" i="66"/>
  <c r="E13" i="66" s="1"/>
  <c r="C13" i="66"/>
  <c r="A13" i="66"/>
  <c r="D12" i="66"/>
  <c r="E12" i="66" s="1"/>
  <c r="C12" i="66"/>
  <c r="A12" i="66"/>
  <c r="D11" i="66"/>
  <c r="E11" i="66" s="1"/>
  <c r="C11" i="66"/>
  <c r="A11" i="66"/>
  <c r="B11" i="66" s="1"/>
  <c r="A10" i="66"/>
  <c r="D8" i="66"/>
  <c r="E8" i="66" s="1"/>
  <c r="A8" i="66"/>
  <c r="D7" i="66"/>
  <c r="E7" i="66" s="1"/>
  <c r="A7" i="66"/>
  <c r="D18" i="65"/>
  <c r="E18" i="65" s="1"/>
  <c r="C18" i="65"/>
  <c r="D15" i="65"/>
  <c r="E15" i="65" s="1"/>
  <c r="C15" i="65"/>
  <c r="A15" i="65"/>
  <c r="D14" i="65"/>
  <c r="E14" i="65" s="1"/>
  <c r="C14" i="65"/>
  <c r="A14" i="65"/>
  <c r="D13" i="65"/>
  <c r="E13" i="65" s="1"/>
  <c r="C13" i="65"/>
  <c r="A13" i="65"/>
  <c r="D12" i="65"/>
  <c r="E12" i="65" s="1"/>
  <c r="C12" i="65"/>
  <c r="A12" i="65"/>
  <c r="D11" i="65"/>
  <c r="E11" i="65" s="1"/>
  <c r="C11" i="65"/>
  <c r="A11" i="65"/>
  <c r="B11" i="65" s="1"/>
  <c r="A10" i="65"/>
  <c r="D8" i="65"/>
  <c r="E8" i="65" s="1"/>
  <c r="A8" i="65"/>
  <c r="D7" i="65"/>
  <c r="E7" i="65" s="1"/>
  <c r="A7" i="65"/>
  <c r="D18" i="64"/>
  <c r="E18" i="64" s="1"/>
  <c r="C18" i="64"/>
  <c r="D15" i="64"/>
  <c r="E15" i="64" s="1"/>
  <c r="C15" i="64"/>
  <c r="A15" i="64"/>
  <c r="D14" i="64"/>
  <c r="E14" i="64" s="1"/>
  <c r="C14" i="64"/>
  <c r="A14" i="64"/>
  <c r="D13" i="64"/>
  <c r="E13" i="64" s="1"/>
  <c r="C13" i="64"/>
  <c r="A13" i="64"/>
  <c r="D12" i="64"/>
  <c r="E12" i="64" s="1"/>
  <c r="C12" i="64"/>
  <c r="A12" i="64"/>
  <c r="D11" i="64"/>
  <c r="E11" i="64" s="1"/>
  <c r="C11" i="64"/>
  <c r="A11" i="64"/>
  <c r="B11" i="64" s="1"/>
  <c r="A10" i="64"/>
  <c r="D8" i="64"/>
  <c r="E8" i="64" s="1"/>
  <c r="A8" i="64"/>
  <c r="D7" i="64"/>
  <c r="E7" i="64" s="1"/>
  <c r="A7" i="64"/>
  <c r="D18" i="63"/>
  <c r="E18" i="63" s="1"/>
  <c r="C18" i="63"/>
  <c r="D15" i="63"/>
  <c r="E15" i="63" s="1"/>
  <c r="C15" i="63"/>
  <c r="A15" i="63"/>
  <c r="D14" i="63"/>
  <c r="E14" i="63" s="1"/>
  <c r="C14" i="63"/>
  <c r="A14" i="63"/>
  <c r="D13" i="63"/>
  <c r="E13" i="63" s="1"/>
  <c r="C13" i="63"/>
  <c r="A13" i="63"/>
  <c r="D12" i="63"/>
  <c r="E12" i="63" s="1"/>
  <c r="C12" i="63"/>
  <c r="A12" i="63"/>
  <c r="D11" i="63"/>
  <c r="E11" i="63" s="1"/>
  <c r="C11" i="63"/>
  <c r="A11" i="63"/>
  <c r="B11" i="63" s="1"/>
  <c r="A10" i="63"/>
  <c r="D8" i="63"/>
  <c r="E8" i="63" s="1"/>
  <c r="A8" i="63"/>
  <c r="D7" i="63"/>
  <c r="E7" i="63" s="1"/>
  <c r="A7" i="63"/>
  <c r="D18" i="61"/>
  <c r="E18" i="61" s="1"/>
  <c r="C18" i="61"/>
  <c r="D15" i="61"/>
  <c r="E15" i="61" s="1"/>
  <c r="C15" i="61"/>
  <c r="A15" i="61"/>
  <c r="D14" i="61"/>
  <c r="E14" i="61" s="1"/>
  <c r="C14" i="61"/>
  <c r="A14" i="61"/>
  <c r="D13" i="61"/>
  <c r="E13" i="61" s="1"/>
  <c r="C13" i="61"/>
  <c r="A13" i="61"/>
  <c r="D12" i="61"/>
  <c r="E12" i="61" s="1"/>
  <c r="C12" i="61"/>
  <c r="A12" i="61"/>
  <c r="D11" i="61"/>
  <c r="E11" i="61" s="1"/>
  <c r="C11" i="61"/>
  <c r="A11" i="61"/>
  <c r="B11" i="61" s="1"/>
  <c r="A10" i="61"/>
  <c r="D8" i="61"/>
  <c r="E8" i="61" s="1"/>
  <c r="A8" i="61"/>
  <c r="D7" i="61"/>
  <c r="E7" i="61" s="1"/>
  <c r="A7" i="61"/>
  <c r="D18" i="62"/>
  <c r="E18" i="62" s="1"/>
  <c r="C18" i="62"/>
  <c r="D15" i="62"/>
  <c r="E15" i="62" s="1"/>
  <c r="C15" i="62"/>
  <c r="A15" i="62"/>
  <c r="D14" i="62"/>
  <c r="E14" i="62" s="1"/>
  <c r="C14" i="62"/>
  <c r="A14" i="62"/>
  <c r="D13" i="62"/>
  <c r="E13" i="62" s="1"/>
  <c r="C13" i="62"/>
  <c r="A13" i="62"/>
  <c r="D12" i="62"/>
  <c r="E12" i="62" s="1"/>
  <c r="C12" i="62"/>
  <c r="A12" i="62"/>
  <c r="D11" i="62"/>
  <c r="E11" i="62" s="1"/>
  <c r="C11" i="62"/>
  <c r="A11" i="62"/>
  <c r="B11" i="62" s="1"/>
  <c r="A10" i="62"/>
  <c r="D8" i="62"/>
  <c r="E8" i="62" s="1"/>
  <c r="A8" i="62"/>
  <c r="D7" i="62"/>
  <c r="E7" i="62" s="1"/>
  <c r="A7" i="62"/>
  <c r="D18" i="60"/>
  <c r="E18" i="60" s="1"/>
  <c r="C18" i="60"/>
  <c r="D15" i="60"/>
  <c r="E15" i="60" s="1"/>
  <c r="C15" i="60"/>
  <c r="A15" i="60"/>
  <c r="D14" i="60"/>
  <c r="E14" i="60" s="1"/>
  <c r="C14" i="60"/>
  <c r="A14" i="60"/>
  <c r="D13" i="60"/>
  <c r="E13" i="60" s="1"/>
  <c r="C13" i="60"/>
  <c r="A13" i="60"/>
  <c r="D12" i="60"/>
  <c r="E12" i="60" s="1"/>
  <c r="C12" i="60"/>
  <c r="A12" i="60"/>
  <c r="D11" i="60"/>
  <c r="E11" i="60" s="1"/>
  <c r="C11" i="60"/>
  <c r="A11" i="60"/>
  <c r="B11" i="60" s="1"/>
  <c r="A10" i="60"/>
  <c r="D8" i="60"/>
  <c r="E8" i="60" s="1"/>
  <c r="A8" i="60"/>
  <c r="D7" i="60"/>
  <c r="E7" i="60" s="1"/>
  <c r="A7" i="60"/>
  <c r="D18" i="59"/>
  <c r="E18" i="59" s="1"/>
  <c r="C18" i="59"/>
  <c r="D15" i="59"/>
  <c r="E15" i="59" s="1"/>
  <c r="C15" i="59"/>
  <c r="A15" i="59"/>
  <c r="D14" i="59"/>
  <c r="E14" i="59" s="1"/>
  <c r="C14" i="59"/>
  <c r="A14" i="59"/>
  <c r="D13" i="59"/>
  <c r="E13" i="59" s="1"/>
  <c r="C13" i="59"/>
  <c r="A13" i="59"/>
  <c r="D12" i="59"/>
  <c r="E12" i="59" s="1"/>
  <c r="C12" i="59"/>
  <c r="A12" i="59"/>
  <c r="D11" i="59"/>
  <c r="E11" i="59" s="1"/>
  <c r="C11" i="59"/>
  <c r="A11" i="59"/>
  <c r="B11" i="59" s="1"/>
  <c r="A10" i="59"/>
  <c r="D8" i="59"/>
  <c r="E8" i="59" s="1"/>
  <c r="A8" i="59"/>
  <c r="D7" i="59"/>
  <c r="E7" i="59" s="1"/>
  <c r="A7" i="59"/>
  <c r="D18" i="58"/>
  <c r="E18" i="58" s="1"/>
  <c r="C18" i="58"/>
  <c r="D15" i="58"/>
  <c r="E15" i="58" s="1"/>
  <c r="C15" i="58"/>
  <c r="A15" i="58"/>
  <c r="D14" i="58"/>
  <c r="E14" i="58" s="1"/>
  <c r="C14" i="58"/>
  <c r="A14" i="58"/>
  <c r="D13" i="58"/>
  <c r="E13" i="58" s="1"/>
  <c r="C13" i="58"/>
  <c r="A13" i="58"/>
  <c r="D12" i="58"/>
  <c r="E12" i="58" s="1"/>
  <c r="C12" i="58"/>
  <c r="A12" i="58"/>
  <c r="D11" i="58"/>
  <c r="E11" i="58" s="1"/>
  <c r="C11" i="58"/>
  <c r="A11" i="58"/>
  <c r="B11" i="58" s="1"/>
  <c r="D10" i="58"/>
  <c r="E10" i="58" s="1"/>
  <c r="C10" i="58"/>
  <c r="A10" i="58"/>
  <c r="D8" i="58"/>
  <c r="E8" i="58" s="1"/>
  <c r="A8" i="58"/>
  <c r="D7" i="58"/>
  <c r="E7" i="58" s="1"/>
  <c r="A7" i="58"/>
  <c r="E18" i="52"/>
  <c r="C18" i="52"/>
  <c r="D15" i="52"/>
  <c r="E15" i="52" s="1"/>
  <c r="C15" i="52"/>
  <c r="A15" i="52"/>
  <c r="D14" i="52"/>
  <c r="E14" i="52" s="1"/>
  <c r="C14" i="52"/>
  <c r="A14" i="52"/>
  <c r="D13" i="52"/>
  <c r="E13" i="52" s="1"/>
  <c r="C13" i="52"/>
  <c r="A13" i="52"/>
  <c r="D12" i="52"/>
  <c r="E12" i="52" s="1"/>
  <c r="C12" i="52"/>
  <c r="A12" i="52"/>
  <c r="D11" i="52"/>
  <c r="E11" i="52" s="1"/>
  <c r="C11" i="52"/>
  <c r="A11" i="52"/>
  <c r="B11" i="52" s="1"/>
  <c r="D10" i="52"/>
  <c r="E10" i="52" s="1"/>
  <c r="C10" i="52"/>
  <c r="A10" i="52"/>
  <c r="E8" i="52"/>
  <c r="A8" i="52"/>
  <c r="D7" i="52"/>
  <c r="E7" i="52" s="1"/>
  <c r="A7" i="52"/>
  <c r="B19" i="27"/>
  <c r="B18" i="27"/>
  <c r="B17" i="27"/>
  <c r="B16" i="27"/>
  <c r="B15" i="27"/>
  <c r="B14" i="27"/>
  <c r="B13" i="27"/>
  <c r="B12" i="27"/>
  <c r="B11" i="27"/>
  <c r="B10" i="27"/>
  <c r="B9" i="27"/>
  <c r="R61" i="51"/>
  <c r="E62" i="51"/>
  <c r="E18" i="57" s="1"/>
  <c r="A62" i="51"/>
  <c r="A18" i="63" s="1"/>
  <c r="R60" i="51"/>
  <c r="F61" i="51"/>
  <c r="G16" i="57"/>
  <c r="A61" i="51"/>
  <c r="R59" i="51"/>
  <c r="E59" i="51"/>
  <c r="E15" i="57" s="1"/>
  <c r="B59" i="51"/>
  <c r="R58" i="51"/>
  <c r="E58" i="51"/>
  <c r="E14" i="57" s="1"/>
  <c r="R57" i="51"/>
  <c r="E13" i="57"/>
  <c r="R56" i="51"/>
  <c r="E56" i="51"/>
  <c r="E12" i="57" s="1"/>
  <c r="B56" i="51"/>
  <c r="B12" i="67" s="1"/>
  <c r="R55" i="51"/>
  <c r="E55" i="51"/>
  <c r="E11" i="57" s="1"/>
  <c r="R54" i="51"/>
  <c r="E54" i="51"/>
  <c r="E10" i="57" s="1"/>
  <c r="R53" i="51"/>
  <c r="D53" i="51"/>
  <c r="E53" i="51" s="1"/>
  <c r="R52" i="51"/>
  <c r="R51" i="51"/>
  <c r="B51" i="51"/>
  <c r="B5" i="65" s="1"/>
  <c r="D50" i="51"/>
  <c r="B50" i="51"/>
  <c r="B4" i="57" s="1"/>
  <c r="D49" i="51"/>
  <c r="D3" i="68" s="1"/>
  <c r="B48" i="51"/>
  <c r="B2" i="57" s="1"/>
  <c r="P41" i="51"/>
  <c r="R41" i="51" s="1"/>
  <c r="O41" i="51"/>
  <c r="P40" i="51"/>
  <c r="O40" i="51"/>
  <c r="S40" i="51" s="1"/>
  <c r="P39" i="51"/>
  <c r="O39" i="51"/>
  <c r="S39" i="51" s="1"/>
  <c r="P38" i="51"/>
  <c r="O38" i="51"/>
  <c r="S38" i="51" s="1"/>
  <c r="P37" i="51"/>
  <c r="O37" i="51"/>
  <c r="S37" i="51" s="1"/>
  <c r="P36" i="51"/>
  <c r="O36" i="51"/>
  <c r="S36" i="51" s="1"/>
  <c r="E75" i="51"/>
  <c r="E25" i="63" s="1"/>
  <c r="P35" i="51"/>
  <c r="O35" i="51"/>
  <c r="S35" i="51" s="1"/>
  <c r="P34" i="51"/>
  <c r="O34" i="51"/>
  <c r="S34" i="51" s="1"/>
  <c r="C73" i="51"/>
  <c r="C25" i="62" s="1"/>
  <c r="P33" i="51"/>
  <c r="O33" i="51"/>
  <c r="S33" i="51" s="1"/>
  <c r="P32" i="51"/>
  <c r="O32" i="51"/>
  <c r="S32" i="51" s="1"/>
  <c r="P31" i="51"/>
  <c r="S31" i="51"/>
  <c r="D70" i="51"/>
  <c r="D25" i="58" s="1"/>
  <c r="P30" i="51"/>
  <c r="R30" i="51" s="1"/>
  <c r="O30" i="51"/>
  <c r="S30" i="51" s="1"/>
  <c r="B13" i="66"/>
  <c r="J47" i="57"/>
  <c r="I47" i="57"/>
  <c r="H47" i="57"/>
  <c r="G47" i="57"/>
  <c r="F47" i="57"/>
  <c r="E47" i="57"/>
  <c r="J46" i="57"/>
  <c r="I46" i="57"/>
  <c r="H46" i="57"/>
  <c r="G46" i="57"/>
  <c r="F46" i="57"/>
  <c r="E46" i="57"/>
  <c r="J45" i="57"/>
  <c r="I45" i="57"/>
  <c r="H45" i="57"/>
  <c r="F45" i="57"/>
  <c r="E45" i="57"/>
  <c r="C41" i="57"/>
  <c r="B41" i="57"/>
  <c r="C40" i="57"/>
  <c r="B40" i="57"/>
  <c r="C39" i="57"/>
  <c r="B39" i="57"/>
  <c r="C38" i="57"/>
  <c r="B38" i="57"/>
  <c r="F18" i="57"/>
  <c r="D18" i="57"/>
  <c r="C18" i="57"/>
  <c r="C17" i="57"/>
  <c r="F15" i="57"/>
  <c r="C15" i="57"/>
  <c r="A15" i="57"/>
  <c r="F14" i="57"/>
  <c r="C14" i="57"/>
  <c r="A14" i="57"/>
  <c r="C13" i="57"/>
  <c r="A13" i="57"/>
  <c r="C12" i="57"/>
  <c r="A12" i="57"/>
  <c r="F11" i="57"/>
  <c r="C11" i="57"/>
  <c r="B11" i="57"/>
  <c r="A11" i="57"/>
  <c r="C10" i="57"/>
  <c r="A10" i="57"/>
  <c r="G9" i="57"/>
  <c r="H9" i="57" s="1"/>
  <c r="I9" i="57" s="1"/>
  <c r="B3" i="57"/>
  <c r="L19" i="27"/>
  <c r="L18" i="27"/>
  <c r="L17" i="27"/>
  <c r="L16" i="27"/>
  <c r="L15" i="27"/>
  <c r="L14" i="27"/>
  <c r="L13" i="27"/>
  <c r="L12" i="27"/>
  <c r="L11" i="27"/>
  <c r="D5" i="27"/>
  <c r="F4" i="27"/>
  <c r="B4" i="27"/>
  <c r="F50" i="57" l="1"/>
  <c r="H48" i="57"/>
  <c r="B61" i="51" a="1"/>
  <c r="B61" i="51" s="1"/>
  <c r="C17" i="62" s="1"/>
  <c r="B8" i="27"/>
  <c r="C43" i="27" s="1" a="1"/>
  <c r="C43" i="27" s="1"/>
  <c r="J44" i="27" s="1" a="1"/>
  <c r="J44" i="27" s="1"/>
  <c r="S50" i="51" a="1"/>
  <c r="S50" i="51" s="1"/>
  <c r="K31" i="51" a="1"/>
  <c r="K31" i="51" s="1"/>
  <c r="K43" i="51" s="1"/>
  <c r="B15" i="68"/>
  <c r="G15" i="68" s="1"/>
  <c r="J15" i="68" s="1"/>
  <c r="B15" i="61"/>
  <c r="G15" i="61" s="1"/>
  <c r="J15" i="61" s="1"/>
  <c r="D4" i="27"/>
  <c r="F48" i="57"/>
  <c r="I48" i="57" s="1"/>
  <c r="M62" i="57"/>
  <c r="M63" i="57"/>
  <c r="M68" i="57"/>
  <c r="M64" i="57"/>
  <c r="M71" i="57"/>
  <c r="M65" i="57"/>
  <c r="M70" i="57"/>
  <c r="M61" i="57"/>
  <c r="M66" i="57"/>
  <c r="M60" i="57"/>
  <c r="M67" i="57"/>
  <c r="M69" i="57"/>
  <c r="B13" i="68"/>
  <c r="G13" i="68" s="1"/>
  <c r="J13" i="68" s="1"/>
  <c r="E79" i="51"/>
  <c r="E25" i="67" s="1"/>
  <c r="D79" i="51"/>
  <c r="D25" i="67" s="1"/>
  <c r="C79" i="51"/>
  <c r="C25" i="67" s="1"/>
  <c r="C80" i="51"/>
  <c r="C25" i="68" s="1"/>
  <c r="E80" i="51"/>
  <c r="E25" i="68" s="1"/>
  <c r="D80" i="51"/>
  <c r="D25" i="68" s="1"/>
  <c r="R34" i="51"/>
  <c r="R37" i="51"/>
  <c r="R31" i="51"/>
  <c r="R35" i="51"/>
  <c r="R39" i="51"/>
  <c r="R32" i="51"/>
  <c r="R36" i="51"/>
  <c r="R40" i="51"/>
  <c r="B13" i="67"/>
  <c r="G13" i="67" s="1"/>
  <c r="H13" i="67" s="1"/>
  <c r="R33" i="51"/>
  <c r="R38" i="51"/>
  <c r="F17" i="57"/>
  <c r="F7" i="67"/>
  <c r="F8" i="67"/>
  <c r="D3" i="57"/>
  <c r="A17" i="67"/>
  <c r="A17" i="58"/>
  <c r="B6" i="27"/>
  <c r="B5" i="57"/>
  <c r="G13" i="66"/>
  <c r="J13" i="66" s="1"/>
  <c r="A17" i="57"/>
  <c r="H16" i="57"/>
  <c r="J16" i="57"/>
  <c r="F25" i="52"/>
  <c r="E25" i="52"/>
  <c r="B15" i="57"/>
  <c r="G15" i="57" s="1"/>
  <c r="J9" i="57"/>
  <c r="B3" i="27"/>
  <c r="B13" i="59"/>
  <c r="G13" i="59" s="1"/>
  <c r="J13" i="59" s="1"/>
  <c r="E61" i="51"/>
  <c r="E17" i="57" s="1"/>
  <c r="B12" i="57"/>
  <c r="G12" i="57" s="1"/>
  <c r="H12" i="57" s="1"/>
  <c r="B13" i="58"/>
  <c r="G13" i="58" s="1"/>
  <c r="J13" i="58" s="1"/>
  <c r="B13" i="63"/>
  <c r="G13" i="63" s="1"/>
  <c r="A18" i="57"/>
  <c r="B13" i="62"/>
  <c r="G13" i="62" s="1"/>
  <c r="D78" i="51"/>
  <c r="D25" i="66" s="1"/>
  <c r="G11" i="66"/>
  <c r="J11" i="66" s="1"/>
  <c r="B15" i="52"/>
  <c r="G15" i="52" s="1"/>
  <c r="J15" i="52" s="1"/>
  <c r="B5" i="59"/>
  <c r="B5" i="60"/>
  <c r="B13" i="65"/>
  <c r="G13" i="65" s="1"/>
  <c r="H13" i="65" s="1"/>
  <c r="A17" i="59"/>
  <c r="A18" i="68"/>
  <c r="B13" i="64"/>
  <c r="G13" i="64" s="1"/>
  <c r="G11" i="52"/>
  <c r="G11" i="64"/>
  <c r="A18" i="66"/>
  <c r="A18" i="52"/>
  <c r="G11" i="63"/>
  <c r="B5" i="68"/>
  <c r="Q78" i="51"/>
  <c r="Q79" i="51"/>
  <c r="S41" i="51"/>
  <c r="E70" i="51"/>
  <c r="E25" i="58" s="1"/>
  <c r="F49" i="57"/>
  <c r="I49" i="57" s="1"/>
  <c r="B13" i="60"/>
  <c r="G13" i="60" s="1"/>
  <c r="J13" i="60" s="1"/>
  <c r="B12" i="59"/>
  <c r="G12" i="59" s="1"/>
  <c r="J12" i="59" s="1"/>
  <c r="B12" i="60"/>
  <c r="G12" i="60" s="1"/>
  <c r="J12" i="60" s="1"/>
  <c r="A17" i="60"/>
  <c r="B5" i="62"/>
  <c r="D3" i="61"/>
  <c r="D3" i="63"/>
  <c r="D3" i="64"/>
  <c r="A18" i="64"/>
  <c r="B12" i="65"/>
  <c r="G12" i="65" s="1"/>
  <c r="J12" i="65" s="1"/>
  <c r="A17" i="65"/>
  <c r="D3" i="66"/>
  <c r="B15" i="66"/>
  <c r="G15" i="66" s="1"/>
  <c r="G12" i="67"/>
  <c r="H12" i="67" s="1"/>
  <c r="E71" i="51"/>
  <c r="E25" i="59" s="1"/>
  <c r="D3" i="52"/>
  <c r="G11" i="58"/>
  <c r="H11" i="58" s="1"/>
  <c r="B12" i="62"/>
  <c r="G12" i="62" s="1"/>
  <c r="A17" i="62"/>
  <c r="B5" i="61"/>
  <c r="A17" i="61"/>
  <c r="B5" i="63"/>
  <c r="A17" i="63"/>
  <c r="B5" i="64"/>
  <c r="B15" i="64"/>
  <c r="G15" i="64" s="1"/>
  <c r="H15" i="64" s="1"/>
  <c r="B5" i="66"/>
  <c r="B12" i="68"/>
  <c r="G12" i="68" s="1"/>
  <c r="B13" i="61"/>
  <c r="G13" i="61" s="1"/>
  <c r="B5" i="52"/>
  <c r="A17" i="52"/>
  <c r="A18" i="58"/>
  <c r="B12" i="61"/>
  <c r="G12" i="61" s="1"/>
  <c r="G11" i="67"/>
  <c r="A17" i="68"/>
  <c r="B12" i="52"/>
  <c r="G12" i="52" s="1"/>
  <c r="D3" i="58"/>
  <c r="B15" i="58"/>
  <c r="G15" i="58" s="1"/>
  <c r="A18" i="59"/>
  <c r="B12" i="63"/>
  <c r="G12" i="63" s="1"/>
  <c r="G11" i="65"/>
  <c r="H11" i="65" s="1"/>
  <c r="B12" i="66"/>
  <c r="G12" i="66" s="1"/>
  <c r="J12" i="66" s="1"/>
  <c r="A17" i="66"/>
  <c r="D3" i="67"/>
  <c r="B15" i="67"/>
  <c r="G15" i="67" s="1"/>
  <c r="A18" i="67"/>
  <c r="G11" i="57"/>
  <c r="H11" i="57" s="1"/>
  <c r="B5" i="58"/>
  <c r="G11" i="59"/>
  <c r="H11" i="59" s="1"/>
  <c r="B15" i="59"/>
  <c r="G15" i="59" s="1"/>
  <c r="J15" i="59" s="1"/>
  <c r="G11" i="60"/>
  <c r="J11" i="60" s="1"/>
  <c r="B15" i="60"/>
  <c r="G15" i="60" s="1"/>
  <c r="A18" i="60"/>
  <c r="B12" i="64"/>
  <c r="G12" i="64" s="1"/>
  <c r="A17" i="64"/>
  <c r="D3" i="65"/>
  <c r="A18" i="65"/>
  <c r="B5" i="67"/>
  <c r="D3" i="62"/>
  <c r="G11" i="62"/>
  <c r="B15" i="62"/>
  <c r="G15" i="62" s="1"/>
  <c r="J15" i="62" s="1"/>
  <c r="A18" i="62"/>
  <c r="A18" i="61"/>
  <c r="B15" i="65"/>
  <c r="G15" i="65" s="1"/>
  <c r="G11" i="68"/>
  <c r="J11" i="68" s="1"/>
  <c r="B12" i="58"/>
  <c r="G12" i="58" s="1"/>
  <c r="J12" i="58" s="1"/>
  <c r="D3" i="59"/>
  <c r="D3" i="60"/>
  <c r="G11" i="61"/>
  <c r="B15" i="63"/>
  <c r="G15" i="63" s="1"/>
  <c r="C72" i="51"/>
  <c r="C25" i="60" s="1"/>
  <c r="C76" i="51"/>
  <c r="C25" i="64" s="1"/>
  <c r="D73" i="51"/>
  <c r="D25" i="62" s="1"/>
  <c r="D77" i="51"/>
  <c r="D25" i="65" s="1"/>
  <c r="E74" i="51"/>
  <c r="E25" i="61" s="1"/>
  <c r="E73" i="51"/>
  <c r="E25" i="62" s="1"/>
  <c r="Q73" i="51"/>
  <c r="D76" i="51"/>
  <c r="D25" i="64" s="1"/>
  <c r="C74" i="51"/>
  <c r="C25" i="61" s="1"/>
  <c r="E76" i="51"/>
  <c r="E25" i="64" s="1"/>
  <c r="Q76" i="51"/>
  <c r="Q71" i="51"/>
  <c r="D74" i="51"/>
  <c r="D25" i="61" s="1"/>
  <c r="C77" i="51"/>
  <c r="C25" i="65" s="1"/>
  <c r="Q74" i="51"/>
  <c r="D72" i="51"/>
  <c r="D25" i="60" s="1"/>
  <c r="C75" i="51"/>
  <c r="C25" i="63" s="1"/>
  <c r="E77" i="51"/>
  <c r="E25" i="65" s="1"/>
  <c r="Q77" i="51"/>
  <c r="E72" i="51"/>
  <c r="E25" i="60" s="1"/>
  <c r="Q72" i="51"/>
  <c r="D75" i="51"/>
  <c r="D25" i="63" s="1"/>
  <c r="Q75" i="51"/>
  <c r="Q70" i="51"/>
  <c r="C71" i="51"/>
  <c r="C25" i="59" s="1"/>
  <c r="D71" i="51"/>
  <c r="D25" i="59" s="1"/>
  <c r="Q69" i="51"/>
  <c r="C25" i="58"/>
  <c r="C69" i="51"/>
  <c r="D69" i="51"/>
  <c r="D25" i="52" s="1"/>
  <c r="Q68" i="51"/>
  <c r="O11" i="58" l="1"/>
  <c r="I25" i="62"/>
  <c r="C26" i="62" s="1"/>
  <c r="O11" i="64"/>
  <c r="F10" i="64" s="1"/>
  <c r="H25" i="64"/>
  <c r="I25" i="64"/>
  <c r="N10" i="64" s="1"/>
  <c r="O11" i="60"/>
  <c r="I25" i="60"/>
  <c r="N10" i="60" s="1"/>
  <c r="H25" i="65"/>
  <c r="O11" i="65"/>
  <c r="F10" i="65" s="1"/>
  <c r="I25" i="65"/>
  <c r="N10" i="65" s="1"/>
  <c r="O11" i="63"/>
  <c r="F10" i="63" s="1"/>
  <c r="I25" i="63"/>
  <c r="N10" i="63" s="1"/>
  <c r="H25" i="63"/>
  <c r="H25" i="62"/>
  <c r="H25" i="68"/>
  <c r="O11" i="68"/>
  <c r="F10" i="68" s="1"/>
  <c r="I25" i="68"/>
  <c r="N10" i="68" s="1"/>
  <c r="O11" i="59"/>
  <c r="F10" i="59" s="1"/>
  <c r="I25" i="59"/>
  <c r="N10" i="59" s="1"/>
  <c r="H25" i="59"/>
  <c r="O11" i="62"/>
  <c r="H25" i="67"/>
  <c r="I25" i="67"/>
  <c r="N10" i="67" s="1"/>
  <c r="O11" i="67"/>
  <c r="F10" i="67" s="1"/>
  <c r="I25" i="61"/>
  <c r="O11" i="61"/>
  <c r="F10" i="61" s="1"/>
  <c r="H25" i="61"/>
  <c r="H25" i="60"/>
  <c r="I25" i="58"/>
  <c r="H25" i="58"/>
  <c r="H80" i="51"/>
  <c r="J80" i="51" s="1"/>
  <c r="I80" i="51"/>
  <c r="I79" i="51"/>
  <c r="H79" i="51"/>
  <c r="J79" i="51" s="1"/>
  <c r="H76" i="51"/>
  <c r="J76" i="51" s="1"/>
  <c r="I76" i="51"/>
  <c r="H72" i="51"/>
  <c r="J72" i="51" s="1"/>
  <c r="I72" i="51"/>
  <c r="H74" i="51"/>
  <c r="J74" i="51" s="1"/>
  <c r="I74" i="51"/>
  <c r="H71" i="51"/>
  <c r="J71" i="51" s="1"/>
  <c r="I71" i="51"/>
  <c r="H75" i="51"/>
  <c r="J75" i="51" s="1"/>
  <c r="I75" i="51"/>
  <c r="C25" i="52"/>
  <c r="O11" i="52" s="1"/>
  <c r="F10" i="52" s="1"/>
  <c r="I69" i="51"/>
  <c r="H69" i="51"/>
  <c r="J69" i="51" s="1"/>
  <c r="H70" i="51"/>
  <c r="J70" i="51" s="1"/>
  <c r="I70" i="51"/>
  <c r="I73" i="51"/>
  <c r="H77" i="51"/>
  <c r="J77" i="51" s="1"/>
  <c r="I77" i="51"/>
  <c r="H73" i="51"/>
  <c r="J73" i="51" s="1"/>
  <c r="R68" i="51" a="1"/>
  <c r="F17" i="60"/>
  <c r="D17" i="52"/>
  <c r="E17" i="52" s="1"/>
  <c r="D17" i="62"/>
  <c r="C17" i="68"/>
  <c r="C17" i="66"/>
  <c r="F17" i="52"/>
  <c r="D17" i="65"/>
  <c r="C17" i="61"/>
  <c r="F17" i="66"/>
  <c r="D17" i="66"/>
  <c r="F17" i="63"/>
  <c r="C17" i="60"/>
  <c r="F17" i="61"/>
  <c r="C17" i="59"/>
  <c r="D17" i="63"/>
  <c r="F17" i="62"/>
  <c r="B17" i="61"/>
  <c r="C17" i="64"/>
  <c r="F17" i="59"/>
  <c r="D17" i="61"/>
  <c r="C17" i="67"/>
  <c r="B17" i="67"/>
  <c r="D17" i="67"/>
  <c r="B17" i="57"/>
  <c r="G17" i="57" s="1"/>
  <c r="J17" i="57" s="1"/>
  <c r="D17" i="60"/>
  <c r="B17" i="58"/>
  <c r="D17" i="59"/>
  <c r="F17" i="68"/>
  <c r="D17" i="68"/>
  <c r="B17" i="68"/>
  <c r="C17" i="52"/>
  <c r="B17" i="63"/>
  <c r="F17" i="64"/>
  <c r="F17" i="67"/>
  <c r="C17" i="65"/>
  <c r="B17" i="64"/>
  <c r="F17" i="65"/>
  <c r="C17" i="63"/>
  <c r="D17" i="64"/>
  <c r="C17" i="58"/>
  <c r="D17" i="58"/>
  <c r="F17" i="58"/>
  <c r="H13" i="68"/>
  <c r="L60" i="57"/>
  <c r="E64" i="57" s="1"/>
  <c r="B8" i="62" s="1"/>
  <c r="K60" i="57"/>
  <c r="D60" i="57" s="1"/>
  <c r="T50" i="57"/>
  <c r="B7" i="57" s="1"/>
  <c r="F10" i="62"/>
  <c r="J13" i="67"/>
  <c r="H13" i="66"/>
  <c r="H12" i="59"/>
  <c r="H15" i="57"/>
  <c r="J15" i="57"/>
  <c r="E17" i="58"/>
  <c r="H15" i="68"/>
  <c r="J13" i="65"/>
  <c r="J15" i="64"/>
  <c r="H11" i="66"/>
  <c r="E17" i="66"/>
  <c r="J11" i="58"/>
  <c r="H13" i="59"/>
  <c r="E17" i="60"/>
  <c r="B13" i="52"/>
  <c r="G13" i="52" s="1"/>
  <c r="J13" i="52" s="1"/>
  <c r="E17" i="59"/>
  <c r="B17" i="59"/>
  <c r="B17" i="62"/>
  <c r="H15" i="61"/>
  <c r="B17" i="66"/>
  <c r="H15" i="52"/>
  <c r="H12" i="60"/>
  <c r="H13" i="62"/>
  <c r="J13" i="62"/>
  <c r="J13" i="63"/>
  <c r="H13" i="63"/>
  <c r="J12" i="63"/>
  <c r="H12" i="63"/>
  <c r="J12" i="62"/>
  <c r="H12" i="62"/>
  <c r="B17" i="60"/>
  <c r="E17" i="64"/>
  <c r="E17" i="61"/>
  <c r="E17" i="62"/>
  <c r="E17" i="67"/>
  <c r="J12" i="67"/>
  <c r="H12" i="65"/>
  <c r="H13" i="60"/>
  <c r="H12" i="66"/>
  <c r="B17" i="65"/>
  <c r="E78" i="51"/>
  <c r="E25" i="66" s="1"/>
  <c r="E17" i="68"/>
  <c r="E17" i="63"/>
  <c r="E17" i="65"/>
  <c r="H13" i="64"/>
  <c r="J13" i="64"/>
  <c r="J15" i="66"/>
  <c r="H15" i="66"/>
  <c r="H13" i="58"/>
  <c r="C78" i="51"/>
  <c r="C25" i="66" s="1"/>
  <c r="H12" i="58"/>
  <c r="H15" i="62"/>
  <c r="J11" i="65"/>
  <c r="H11" i="60"/>
  <c r="J11" i="52"/>
  <c r="H11" i="52"/>
  <c r="H11" i="68"/>
  <c r="J11" i="59"/>
  <c r="J11" i="63"/>
  <c r="H11" i="63"/>
  <c r="J11" i="57"/>
  <c r="J12" i="57"/>
  <c r="F7" i="68"/>
  <c r="F8" i="59"/>
  <c r="F7" i="60"/>
  <c r="F7" i="63"/>
  <c r="F7" i="59"/>
  <c r="F7" i="62"/>
  <c r="F7" i="61"/>
  <c r="F7" i="65"/>
  <c r="F8" i="58"/>
  <c r="F8" i="63"/>
  <c r="F7" i="58"/>
  <c r="F8" i="65"/>
  <c r="F8" i="66"/>
  <c r="F7" i="66"/>
  <c r="F8" i="61"/>
  <c r="F8" i="68"/>
  <c r="F8" i="60"/>
  <c r="F8" i="62"/>
  <c r="F8" i="52"/>
  <c r="F8" i="64"/>
  <c r="F7" i="52"/>
  <c r="F7" i="64"/>
  <c r="H15" i="65"/>
  <c r="J15" i="65"/>
  <c r="J11" i="64"/>
  <c r="H11" i="64"/>
  <c r="J12" i="61"/>
  <c r="H12" i="61"/>
  <c r="H15" i="67"/>
  <c r="J15" i="67"/>
  <c r="H12" i="52"/>
  <c r="J12" i="52"/>
  <c r="H15" i="59"/>
  <c r="J11" i="61"/>
  <c r="H11" i="61"/>
  <c r="J15" i="60"/>
  <c r="H15" i="60"/>
  <c r="J12" i="64"/>
  <c r="H12" i="64"/>
  <c r="H13" i="61"/>
  <c r="J13" i="61"/>
  <c r="H11" i="62"/>
  <c r="J11" i="62"/>
  <c r="H15" i="58"/>
  <c r="J15" i="58"/>
  <c r="H12" i="68"/>
  <c r="J12" i="68"/>
  <c r="H11" i="67"/>
  <c r="J11" i="67"/>
  <c r="J15" i="63"/>
  <c r="H15" i="63"/>
  <c r="N10" i="61" l="1"/>
  <c r="G26" i="61"/>
  <c r="G26" i="58"/>
  <c r="N10" i="58"/>
  <c r="G26" i="62"/>
  <c r="N10" i="62"/>
  <c r="G26" i="63"/>
  <c r="C26" i="63"/>
  <c r="G26" i="65"/>
  <c r="C26" i="65"/>
  <c r="C26" i="61"/>
  <c r="G26" i="67"/>
  <c r="N11" i="67" s="1"/>
  <c r="B10" i="67" s="1"/>
  <c r="G10" i="67" s="1"/>
  <c r="C26" i="67"/>
  <c r="G26" i="60"/>
  <c r="C26" i="60"/>
  <c r="G26" i="64"/>
  <c r="H26" i="64"/>
  <c r="C26" i="64"/>
  <c r="H25" i="66"/>
  <c r="I25" i="66"/>
  <c r="N10" i="66" s="1"/>
  <c r="G26" i="59"/>
  <c r="C26" i="59"/>
  <c r="G26" i="68"/>
  <c r="N11" i="68" s="1"/>
  <c r="B10" i="68" s="1"/>
  <c r="G10" i="68" s="1"/>
  <c r="C26" i="68"/>
  <c r="F10" i="60"/>
  <c r="C26" i="58"/>
  <c r="I78" i="51"/>
  <c r="H78" i="51"/>
  <c r="J78" i="51" s="1"/>
  <c r="R68" i="51"/>
  <c r="G17" i="61"/>
  <c r="H17" i="61" s="1"/>
  <c r="G17" i="67"/>
  <c r="H17" i="67" s="1"/>
  <c r="E62" i="57"/>
  <c r="B8" i="59" s="1"/>
  <c r="G8" i="59" s="1"/>
  <c r="G17" i="68"/>
  <c r="H17" i="68" s="1"/>
  <c r="G17" i="63"/>
  <c r="H17" i="63" s="1"/>
  <c r="G17" i="58"/>
  <c r="H17" i="58" s="1"/>
  <c r="G17" i="64"/>
  <c r="H17" i="64" s="1"/>
  <c r="H17" i="57"/>
  <c r="D64" i="57"/>
  <c r="B7" i="62" s="1"/>
  <c r="G7" i="62" s="1"/>
  <c r="J7" i="62" s="1"/>
  <c r="D63" i="57"/>
  <c r="B7" i="60" s="1"/>
  <c r="G7" i="60" s="1"/>
  <c r="H7" i="60" s="1"/>
  <c r="D62" i="57"/>
  <c r="B7" i="59" s="1"/>
  <c r="G7" i="59" s="1"/>
  <c r="H7" i="59" s="1"/>
  <c r="D69" i="57"/>
  <c r="B7" i="66" s="1"/>
  <c r="G7" i="66" s="1"/>
  <c r="J7" i="66" s="1"/>
  <c r="T51" i="57"/>
  <c r="B8" i="57" s="1"/>
  <c r="D71" i="57"/>
  <c r="D65" i="57"/>
  <c r="B7" i="61" s="1"/>
  <c r="G7" i="61" s="1"/>
  <c r="J7" i="61" s="1"/>
  <c r="D70" i="57"/>
  <c r="B7" i="67" s="1"/>
  <c r="G7" i="67" s="1"/>
  <c r="H7" i="67" s="1"/>
  <c r="D61" i="57"/>
  <c r="B7" i="58" s="1"/>
  <c r="G7" i="58" s="1"/>
  <c r="J7" i="58" s="1"/>
  <c r="E70" i="57"/>
  <c r="B8" i="67" s="1"/>
  <c r="E71" i="57"/>
  <c r="E68" i="57"/>
  <c r="B8" i="65" s="1"/>
  <c r="E67" i="57"/>
  <c r="B8" i="64" s="1"/>
  <c r="E66" i="57"/>
  <c r="B8" i="63" s="1"/>
  <c r="E60" i="57"/>
  <c r="B8" i="52" s="1"/>
  <c r="G8" i="52" s="1"/>
  <c r="E65" i="57"/>
  <c r="B8" i="61" s="1"/>
  <c r="E61" i="57"/>
  <c r="B8" i="58" s="1"/>
  <c r="G8" i="58" s="1"/>
  <c r="D68" i="57"/>
  <c r="B7" i="65" s="1"/>
  <c r="G7" i="65" s="1"/>
  <c r="J7" i="65" s="1"/>
  <c r="D66" i="57"/>
  <c r="B7" i="63" s="1"/>
  <c r="G7" i="63" s="1"/>
  <c r="J7" i="63" s="1"/>
  <c r="B7" i="52"/>
  <c r="G7" i="52" s="1"/>
  <c r="H7" i="52" s="1"/>
  <c r="E63" i="57"/>
  <c r="B8" i="60" s="1"/>
  <c r="G8" i="60" s="1"/>
  <c r="D67" i="57"/>
  <c r="B7" i="64" s="1"/>
  <c r="G7" i="64" s="1"/>
  <c r="J7" i="64" s="1"/>
  <c r="E69" i="57"/>
  <c r="B8" i="66" s="1"/>
  <c r="G14" i="66"/>
  <c r="H14" i="66" s="1"/>
  <c r="O11" i="66"/>
  <c r="F10" i="66" s="1"/>
  <c r="F10" i="58"/>
  <c r="B13" i="57"/>
  <c r="G13" i="57" s="1"/>
  <c r="J13" i="57" s="1"/>
  <c r="G17" i="60"/>
  <c r="H17" i="60" s="1"/>
  <c r="G17" i="66"/>
  <c r="J17" i="66" s="1"/>
  <c r="G17" i="62"/>
  <c r="J17" i="62" s="1"/>
  <c r="H13" i="52"/>
  <c r="G17" i="59"/>
  <c r="H17" i="59" s="1"/>
  <c r="G17" i="65"/>
  <c r="H17" i="65" s="1"/>
  <c r="G14" i="59"/>
  <c r="J14" i="59" s="1"/>
  <c r="G14" i="63"/>
  <c r="F54" i="51"/>
  <c r="F10" i="57" s="1"/>
  <c r="G7" i="57"/>
  <c r="J7" i="57" s="1"/>
  <c r="B7" i="68"/>
  <c r="G7" i="68" s="1"/>
  <c r="H7" i="68" s="1"/>
  <c r="G14" i="60"/>
  <c r="G14" i="61"/>
  <c r="J14" i="61" s="1"/>
  <c r="G14" i="65"/>
  <c r="G14" i="62"/>
  <c r="J14" i="62" s="1"/>
  <c r="G14" i="64"/>
  <c r="G14" i="58"/>
  <c r="H25" i="52"/>
  <c r="I25" i="52"/>
  <c r="N10" i="52" s="1"/>
  <c r="J25" i="52" l="1"/>
  <c r="J25" i="65"/>
  <c r="J25" i="58"/>
  <c r="J25" i="62"/>
  <c r="J25" i="60"/>
  <c r="J25" i="59"/>
  <c r="J25" i="66"/>
  <c r="J25" i="68"/>
  <c r="L25" i="68" s="1"/>
  <c r="B18" i="68" s="1"/>
  <c r="J25" i="64"/>
  <c r="J25" i="63"/>
  <c r="J25" i="67"/>
  <c r="J25" i="61"/>
  <c r="G26" i="66"/>
  <c r="C26" i="66"/>
  <c r="G26" i="52"/>
  <c r="N11" i="52" s="1"/>
  <c r="B10" i="52" s="1"/>
  <c r="S68" i="51" a="1"/>
  <c r="S68" i="51" s="1"/>
  <c r="I81" i="51"/>
  <c r="C84" i="51"/>
  <c r="J17" i="61"/>
  <c r="J17" i="67"/>
  <c r="J17" i="68"/>
  <c r="J17" i="63"/>
  <c r="J17" i="58"/>
  <c r="J17" i="64"/>
  <c r="G14" i="52"/>
  <c r="H14" i="52" s="1"/>
  <c r="G14" i="57"/>
  <c r="J14" i="66"/>
  <c r="G8" i="57"/>
  <c r="H8" i="57" s="1"/>
  <c r="G8" i="67"/>
  <c r="H8" i="67" s="1"/>
  <c r="B8" i="68"/>
  <c r="G8" i="68" s="1"/>
  <c r="H8" i="68" s="1"/>
  <c r="G8" i="61"/>
  <c r="H8" i="61" s="1"/>
  <c r="G8" i="66"/>
  <c r="J8" i="66" s="1"/>
  <c r="B53" i="51"/>
  <c r="G8" i="62"/>
  <c r="J8" i="62" s="1"/>
  <c r="G8" i="65"/>
  <c r="H8" i="65" s="1"/>
  <c r="G8" i="64"/>
  <c r="J8" i="64" s="1"/>
  <c r="G8" i="63"/>
  <c r="H8" i="63" s="1"/>
  <c r="H10" i="68"/>
  <c r="J10" i="68"/>
  <c r="N11" i="62"/>
  <c r="B10" i="62" s="1"/>
  <c r="G10" i="62" s="1"/>
  <c r="H10" i="67"/>
  <c r="J10" i="67"/>
  <c r="H17" i="66"/>
  <c r="N11" i="64"/>
  <c r="B10" i="64" s="1"/>
  <c r="G10" i="64" s="1"/>
  <c r="H13" i="57"/>
  <c r="J17" i="60"/>
  <c r="H17" i="62"/>
  <c r="J17" i="59"/>
  <c r="J17" i="65"/>
  <c r="C81" i="51"/>
  <c r="H14" i="59"/>
  <c r="C82" i="51"/>
  <c r="C83" i="51"/>
  <c r="H7" i="65"/>
  <c r="J7" i="67"/>
  <c r="J7" i="52"/>
  <c r="H7" i="63"/>
  <c r="H7" i="57"/>
  <c r="J7" i="59"/>
  <c r="J7" i="60"/>
  <c r="H7" i="61"/>
  <c r="J7" i="68"/>
  <c r="H7" i="58"/>
  <c r="H7" i="64"/>
  <c r="H7" i="62"/>
  <c r="H7" i="66"/>
  <c r="J8" i="58"/>
  <c r="H8" i="58"/>
  <c r="H8" i="60"/>
  <c r="J8" i="60"/>
  <c r="J8" i="59"/>
  <c r="H8" i="59"/>
  <c r="J8" i="52"/>
  <c r="H8" i="52"/>
  <c r="H14" i="62"/>
  <c r="H14" i="61"/>
  <c r="H14" i="58"/>
  <c r="J14" i="58"/>
  <c r="G14" i="67"/>
  <c r="J14" i="67" s="1"/>
  <c r="G14" i="68"/>
  <c r="J14" i="68" s="1"/>
  <c r="J14" i="63"/>
  <c r="H14" i="63"/>
  <c r="H14" i="64"/>
  <c r="J14" i="64"/>
  <c r="H14" i="65"/>
  <c r="J14" i="65"/>
  <c r="J14" i="60"/>
  <c r="H14" i="60"/>
  <c r="C26" i="52"/>
  <c r="B54" i="51" l="1"/>
  <c r="B10" i="57" s="1"/>
  <c r="G10" i="57" s="1"/>
  <c r="B62" i="51"/>
  <c r="B18" i="57" s="1"/>
  <c r="G18" i="57" s="1"/>
  <c r="J26" i="67"/>
  <c r="L25" i="67"/>
  <c r="B18" i="67" s="1"/>
  <c r="G18" i="67" s="1"/>
  <c r="J18" i="67" s="1"/>
  <c r="K25" i="67"/>
  <c r="K26" i="67" s="1"/>
  <c r="J26" i="68"/>
  <c r="K25" i="68"/>
  <c r="K26" i="68" s="1"/>
  <c r="J26" i="59"/>
  <c r="L25" i="59"/>
  <c r="B18" i="59" s="1"/>
  <c r="G18" i="59" s="1"/>
  <c r="J18" i="59" s="1"/>
  <c r="K25" i="59"/>
  <c r="K26" i="59" s="1"/>
  <c r="J26" i="60"/>
  <c r="K25" i="60"/>
  <c r="K26" i="60" s="1"/>
  <c r="L25" i="60"/>
  <c r="B18" i="60" s="1"/>
  <c r="G18" i="60" s="1"/>
  <c r="J26" i="61"/>
  <c r="L25" i="61"/>
  <c r="B18" i="61" s="1"/>
  <c r="G18" i="61" s="1"/>
  <c r="H18" i="61" s="1"/>
  <c r="K25" i="61"/>
  <c r="K26" i="61" s="1"/>
  <c r="J26" i="64"/>
  <c r="L25" i="64"/>
  <c r="B18" i="64" s="1"/>
  <c r="G18" i="64" s="1"/>
  <c r="J18" i="64" s="1"/>
  <c r="K25" i="64"/>
  <c r="K26" i="64" s="1"/>
  <c r="J26" i="66"/>
  <c r="K25" i="66"/>
  <c r="K26" i="66" s="1"/>
  <c r="L25" i="66"/>
  <c r="B18" i="66" s="1"/>
  <c r="J26" i="62"/>
  <c r="K25" i="62"/>
  <c r="K26" i="62" s="1"/>
  <c r="L25" i="62"/>
  <c r="B18" i="62" s="1"/>
  <c r="G18" i="62" s="1"/>
  <c r="J18" i="62" s="1"/>
  <c r="J26" i="63"/>
  <c r="L25" i="63"/>
  <c r="B18" i="63" s="1"/>
  <c r="G18" i="63" s="1"/>
  <c r="K25" i="63"/>
  <c r="K26" i="63" s="1"/>
  <c r="J26" i="58"/>
  <c r="L25" i="58"/>
  <c r="B18" i="58" s="1"/>
  <c r="G18" i="58" s="1"/>
  <c r="J18" i="58" s="1"/>
  <c r="K25" i="58"/>
  <c r="K26" i="58" s="1"/>
  <c r="G18" i="66"/>
  <c r="J26" i="65"/>
  <c r="L25" i="65"/>
  <c r="B18" i="65" s="1"/>
  <c r="G18" i="65" s="1"/>
  <c r="H18" i="65" s="1"/>
  <c r="K25" i="65"/>
  <c r="K26" i="65" s="1"/>
  <c r="K25" i="52"/>
  <c r="K26" i="52" s="1"/>
  <c r="J26" i="52"/>
  <c r="G18" i="68"/>
  <c r="J18" i="68" s="1"/>
  <c r="K69" i="51"/>
  <c r="L69" i="51" s="1"/>
  <c r="J8" i="57"/>
  <c r="J14" i="52"/>
  <c r="J8" i="67"/>
  <c r="J8" i="65"/>
  <c r="J8" i="61"/>
  <c r="H8" i="62"/>
  <c r="J8" i="63"/>
  <c r="H8" i="66"/>
  <c r="J8" i="68"/>
  <c r="H8" i="64"/>
  <c r="J10" i="62"/>
  <c r="H10" i="62"/>
  <c r="N11" i="60"/>
  <c r="B10" i="60" s="1"/>
  <c r="G10" i="60" s="1"/>
  <c r="N11" i="58"/>
  <c r="N11" i="66"/>
  <c r="B10" i="66" s="1"/>
  <c r="G10" i="66" s="1"/>
  <c r="N11" i="65"/>
  <c r="B10" i="65" s="1"/>
  <c r="G10" i="65" s="1"/>
  <c r="H10" i="65" s="1"/>
  <c r="N11" i="63"/>
  <c r="B10" i="63" s="1"/>
  <c r="G10" i="63" s="1"/>
  <c r="H10" i="64"/>
  <c r="J10" i="64"/>
  <c r="N11" i="61"/>
  <c r="B10" i="61" s="1"/>
  <c r="G10" i="61" s="1"/>
  <c r="N11" i="59"/>
  <c r="B10" i="59" s="1"/>
  <c r="G10" i="59" s="1"/>
  <c r="G10" i="52"/>
  <c r="K76" i="51"/>
  <c r="L76" i="51" s="1"/>
  <c r="K71" i="51"/>
  <c r="L71" i="51" s="1"/>
  <c r="K78" i="51"/>
  <c r="L78" i="51" s="1"/>
  <c r="K80" i="51"/>
  <c r="L80" i="51" s="1"/>
  <c r="K70" i="51"/>
  <c r="L70" i="51" s="1"/>
  <c r="K79" i="51"/>
  <c r="L79" i="51" s="1"/>
  <c r="K72" i="51"/>
  <c r="L72" i="51" s="1"/>
  <c r="K77" i="51"/>
  <c r="L77" i="51" s="1"/>
  <c r="C85" i="51"/>
  <c r="K75" i="51"/>
  <c r="L75" i="51" s="1"/>
  <c r="K74" i="51"/>
  <c r="L74" i="51" s="1"/>
  <c r="K73" i="51"/>
  <c r="L73" i="51" s="1"/>
  <c r="H14" i="67"/>
  <c r="H14" i="68"/>
  <c r="J14" i="57"/>
  <c r="H14" i="57"/>
  <c r="J19" i="62" l="1"/>
  <c r="G53" i="51" a="1"/>
  <c r="G53" i="51" s="1"/>
  <c r="H53" i="51" s="1" a="1"/>
  <c r="H53" i="51" s="1"/>
  <c r="J10" i="57"/>
  <c r="H10" i="57"/>
  <c r="H18" i="62"/>
  <c r="H19" i="62" s="1"/>
  <c r="I13" i="62" s="1"/>
  <c r="J18" i="57"/>
  <c r="H18" i="57"/>
  <c r="J19" i="64"/>
  <c r="H18" i="64"/>
  <c r="H19" i="64" s="1"/>
  <c r="I10" i="64" s="1"/>
  <c r="B18" i="52"/>
  <c r="G18" i="52" s="1"/>
  <c r="H18" i="59"/>
  <c r="J18" i="65"/>
  <c r="H18" i="58"/>
  <c r="H18" i="68"/>
  <c r="H19" i="68" s="1"/>
  <c r="I18" i="68" s="1"/>
  <c r="H18" i="67"/>
  <c r="H19" i="67" s="1"/>
  <c r="I10" i="67" s="1"/>
  <c r="J19" i="67"/>
  <c r="H18" i="66"/>
  <c r="J18" i="66"/>
  <c r="J18" i="60"/>
  <c r="H18" i="60"/>
  <c r="J19" i="68"/>
  <c r="J18" i="61"/>
  <c r="B10" i="58"/>
  <c r="G10" i="58" s="1"/>
  <c r="K81" i="51"/>
  <c r="J18" i="63"/>
  <c r="H18" i="63"/>
  <c r="H10" i="60"/>
  <c r="J10" i="60"/>
  <c r="H10" i="59"/>
  <c r="J10" i="59"/>
  <c r="J19" i="59" s="1"/>
  <c r="H10" i="66"/>
  <c r="J10" i="66"/>
  <c r="J10" i="65"/>
  <c r="J10" i="63"/>
  <c r="H10" i="63"/>
  <c r="H10" i="61"/>
  <c r="H19" i="61" s="1"/>
  <c r="I16" i="61" s="1"/>
  <c r="J10" i="61"/>
  <c r="H10" i="52"/>
  <c r="J10" i="52"/>
  <c r="L81" i="51"/>
  <c r="H19" i="65"/>
  <c r="H19" i="57" l="1"/>
  <c r="I16" i="57" s="1"/>
  <c r="J53" i="51" a="1"/>
  <c r="J53" i="51" s="1"/>
  <c r="J63" i="51" s="1"/>
  <c r="J19" i="65"/>
  <c r="J19" i="57"/>
  <c r="H19" i="59"/>
  <c r="I16" i="59" s="1"/>
  <c r="J19" i="66"/>
  <c r="H19" i="66"/>
  <c r="I15" i="66" s="1"/>
  <c r="H18" i="52"/>
  <c r="J18" i="52"/>
  <c r="J19" i="61"/>
  <c r="J19" i="60"/>
  <c r="H19" i="60"/>
  <c r="I8" i="60" s="1"/>
  <c r="I17" i="67"/>
  <c r="I16" i="67"/>
  <c r="I16" i="68"/>
  <c r="I10" i="62"/>
  <c r="I16" i="62"/>
  <c r="I12" i="62"/>
  <c r="I13" i="67"/>
  <c r="I10" i="68"/>
  <c r="I15" i="68"/>
  <c r="I12" i="68"/>
  <c r="G19" i="68"/>
  <c r="G20" i="68" s="1"/>
  <c r="G21" i="68" s="1"/>
  <c r="G22" i="68" s="1"/>
  <c r="I13" i="68"/>
  <c r="I7" i="68"/>
  <c r="I11" i="68"/>
  <c r="I14" i="68"/>
  <c r="I8" i="68"/>
  <c r="I17" i="68"/>
  <c r="H10" i="58"/>
  <c r="J10" i="58"/>
  <c r="I12" i="67"/>
  <c r="I15" i="67"/>
  <c r="I7" i="67"/>
  <c r="I14" i="67"/>
  <c r="I18" i="62"/>
  <c r="I14" i="62"/>
  <c r="I17" i="62"/>
  <c r="I7" i="62"/>
  <c r="I15" i="62"/>
  <c r="I8" i="62"/>
  <c r="I11" i="62"/>
  <c r="I11" i="67"/>
  <c r="G19" i="62"/>
  <c r="G20" i="62" s="1"/>
  <c r="G19" i="67"/>
  <c r="G20" i="67" s="1"/>
  <c r="G21" i="67" s="1"/>
  <c r="G22" i="67" s="1"/>
  <c r="Q18" i="27" s="1"/>
  <c r="I8" i="67"/>
  <c r="I18" i="67"/>
  <c r="H19" i="63"/>
  <c r="I10" i="63" s="1"/>
  <c r="J19" i="63"/>
  <c r="I14" i="64"/>
  <c r="I8" i="64"/>
  <c r="G19" i="64"/>
  <c r="G20" i="64" s="1"/>
  <c r="I17" i="64"/>
  <c r="I13" i="64"/>
  <c r="I7" i="64"/>
  <c r="I15" i="64"/>
  <c r="I11" i="64"/>
  <c r="I18" i="64"/>
  <c r="I12" i="64"/>
  <c r="I16" i="64"/>
  <c r="I10" i="65"/>
  <c r="I16" i="65"/>
  <c r="I10" i="57"/>
  <c r="H63" i="51"/>
  <c r="I53" i="51" s="1" a="1"/>
  <c r="I53" i="51" s="1"/>
  <c r="I18" i="57"/>
  <c r="I11" i="57"/>
  <c r="I14" i="57"/>
  <c r="I17" i="57"/>
  <c r="I8" i="57"/>
  <c r="I12" i="57"/>
  <c r="I7" i="57"/>
  <c r="I13" i="57"/>
  <c r="I15" i="57"/>
  <c r="I13" i="66"/>
  <c r="I12" i="66"/>
  <c r="I11" i="66"/>
  <c r="I8" i="61"/>
  <c r="I15" i="61"/>
  <c r="I7" i="61"/>
  <c r="I13" i="61"/>
  <c r="G19" i="61"/>
  <c r="I12" i="61"/>
  <c r="I11" i="61"/>
  <c r="I17" i="61"/>
  <c r="I14" i="61"/>
  <c r="I18" i="61"/>
  <c r="I10" i="61"/>
  <c r="I8" i="65"/>
  <c r="I15" i="65"/>
  <c r="I7" i="65"/>
  <c r="I13" i="65"/>
  <c r="G19" i="65"/>
  <c r="I12" i="65"/>
  <c r="I11" i="65"/>
  <c r="I14" i="65"/>
  <c r="I17" i="65"/>
  <c r="I18" i="65"/>
  <c r="G19" i="57" l="1"/>
  <c r="G19" i="66"/>
  <c r="I14" i="59"/>
  <c r="I10" i="59"/>
  <c r="I18" i="59"/>
  <c r="I17" i="59"/>
  <c r="I8" i="59"/>
  <c r="I10" i="66"/>
  <c r="I12" i="59"/>
  <c r="G19" i="59"/>
  <c r="G20" i="59" s="1"/>
  <c r="I15" i="59"/>
  <c r="I13" i="59"/>
  <c r="G20" i="57"/>
  <c r="G21" i="57" s="1"/>
  <c r="G22" i="57" s="1"/>
  <c r="I7" i="59"/>
  <c r="I11" i="59"/>
  <c r="I8" i="66"/>
  <c r="I16" i="66"/>
  <c r="I18" i="66"/>
  <c r="I17" i="66"/>
  <c r="I7" i="66"/>
  <c r="I14" i="66"/>
  <c r="I10" i="60"/>
  <c r="I18" i="60"/>
  <c r="I17" i="60"/>
  <c r="I11" i="60"/>
  <c r="I14" i="60"/>
  <c r="I16" i="60"/>
  <c r="I12" i="60"/>
  <c r="G19" i="60"/>
  <c r="G20" i="60" s="1"/>
  <c r="I13" i="60"/>
  <c r="I7" i="60"/>
  <c r="I15" i="60"/>
  <c r="I19" i="68"/>
  <c r="I15" i="63"/>
  <c r="I19" i="62"/>
  <c r="I16" i="63"/>
  <c r="G19" i="63"/>
  <c r="G20" i="63" s="1"/>
  <c r="I13" i="63"/>
  <c r="I7" i="63"/>
  <c r="I19" i="67"/>
  <c r="I8" i="63"/>
  <c r="I12" i="63"/>
  <c r="I18" i="63"/>
  <c r="I11" i="63"/>
  <c r="I14" i="63"/>
  <c r="I17" i="63"/>
  <c r="I19" i="64"/>
  <c r="H22" i="68"/>
  <c r="Q19" i="27"/>
  <c r="C19" i="27" s="1"/>
  <c r="H22" i="67"/>
  <c r="C18" i="27"/>
  <c r="G21" i="62"/>
  <c r="G22" i="62" s="1"/>
  <c r="Q12" i="27" s="1"/>
  <c r="G21" i="64"/>
  <c r="G22" i="64" s="1"/>
  <c r="Q15" i="27" s="1"/>
  <c r="G63" i="51"/>
  <c r="G64" i="51" s="1"/>
  <c r="G65" i="51" s="1"/>
  <c r="G66" i="51" s="1"/>
  <c r="H66" i="51" s="1"/>
  <c r="I19" i="57"/>
  <c r="I19" i="61"/>
  <c r="G20" i="65"/>
  <c r="G20" i="66"/>
  <c r="I19" i="65"/>
  <c r="G20" i="61"/>
  <c r="G21" i="61" s="1"/>
  <c r="G22" i="61" s="1"/>
  <c r="Q13" i="27" s="1"/>
  <c r="I19" i="59" l="1"/>
  <c r="I19" i="66"/>
  <c r="I19" i="60"/>
  <c r="I19" i="63"/>
  <c r="G19" i="27"/>
  <c r="F19" i="27"/>
  <c r="D19" i="27"/>
  <c r="H22" i="62"/>
  <c r="H22" i="64"/>
  <c r="G21" i="65"/>
  <c r="G22" i="65" s="1"/>
  <c r="Q16" i="27" s="1"/>
  <c r="G21" i="60"/>
  <c r="G22" i="60" s="1"/>
  <c r="Q11" i="27" s="1"/>
  <c r="G21" i="63"/>
  <c r="G22" i="63" s="1"/>
  <c r="Q14" i="27" s="1"/>
  <c r="G21" i="66"/>
  <c r="G22" i="66" s="1"/>
  <c r="Q17" i="27" s="1"/>
  <c r="G21" i="59"/>
  <c r="G22" i="59" s="1"/>
  <c r="Q10" i="27" s="1"/>
  <c r="I63" i="51"/>
  <c r="C13" i="27"/>
  <c r="H22" i="61"/>
  <c r="D18" i="27" l="1"/>
  <c r="D13" i="27"/>
  <c r="C15" i="27"/>
  <c r="C12" i="27"/>
  <c r="H22" i="65"/>
  <c r="H22" i="66"/>
  <c r="H22" i="60"/>
  <c r="H22" i="63"/>
  <c r="H22" i="59"/>
  <c r="G13" i="27" l="1"/>
  <c r="F13" i="27"/>
  <c r="D15" i="27"/>
  <c r="D12" i="27"/>
  <c r="C17" i="27"/>
  <c r="C10" i="27"/>
  <c r="C14" i="27"/>
  <c r="C11" i="27"/>
  <c r="C16" i="27"/>
  <c r="G16" i="27" s="1"/>
  <c r="S67" i="51"/>
  <c r="J49" i="57"/>
  <c r="D11" i="27" l="1"/>
  <c r="G12" i="27"/>
  <c r="F12" i="27"/>
  <c r="F17" i="27"/>
  <c r="G17" i="27"/>
  <c r="G11" i="27"/>
  <c r="F11" i="27"/>
  <c r="F15" i="27"/>
  <c r="G15" i="27"/>
  <c r="G14" i="27"/>
  <c r="F14" i="27"/>
  <c r="F18" i="27"/>
  <c r="G18" i="27"/>
  <c r="F16" i="27"/>
  <c r="D16" i="27"/>
  <c r="D10" i="27"/>
  <c r="D17" i="27"/>
  <c r="D14" i="27"/>
  <c r="J48" i="57"/>
  <c r="C15" i="51"/>
  <c r="R6" i="51" l="1"/>
  <c r="B17" i="52" l="1"/>
  <c r="G17" i="52" s="1"/>
  <c r="J17" i="52" l="1"/>
  <c r="J19" i="52" s="1"/>
  <c r="H17" i="52"/>
  <c r="J19" i="58"/>
  <c r="H19" i="58" l="1"/>
  <c r="G19" i="58" s="1"/>
  <c r="H19" i="52"/>
  <c r="I17" i="58" l="1"/>
  <c r="I16" i="58"/>
  <c r="I17" i="52"/>
  <c r="I16" i="52"/>
  <c r="I10" i="52"/>
  <c r="I8" i="52"/>
  <c r="I15" i="52"/>
  <c r="I13" i="52"/>
  <c r="I11" i="52"/>
  <c r="G19" i="52"/>
  <c r="G20" i="52" s="1"/>
  <c r="G21" i="52" s="1"/>
  <c r="G22" i="52" s="1"/>
  <c r="Q8" i="27" s="1"/>
  <c r="I7" i="52"/>
  <c r="I14" i="52"/>
  <c r="I18" i="52"/>
  <c r="I12" i="52"/>
  <c r="I13" i="58"/>
  <c r="I14" i="58"/>
  <c r="I18" i="58"/>
  <c r="I11" i="58"/>
  <c r="I7" i="58"/>
  <c r="G20" i="58"/>
  <c r="I12" i="58"/>
  <c r="I10" i="58"/>
  <c r="I8" i="58"/>
  <c r="I15" i="58"/>
  <c r="G21" i="58" l="1"/>
  <c r="I19" i="58"/>
  <c r="I19" i="52"/>
  <c r="C8" i="27"/>
  <c r="D8" i="27" s="1"/>
  <c r="H22" i="52"/>
  <c r="G22" i="58" l="1"/>
  <c r="Q9" i="27" s="1"/>
  <c r="H22" i="58" l="1"/>
  <c r="C9" i="27"/>
  <c r="F9" i="27" l="1"/>
  <c r="G9" i="27"/>
  <c r="D43" i="27" a="1"/>
  <c r="D43" i="27" s="1"/>
  <c r="M44" i="27" s="1" a="1"/>
  <c r="M44" i="27" s="1"/>
  <c r="G10" i="27"/>
  <c r="F10" i="27"/>
  <c r="D9" i="27"/>
  <c r="L10" i="27"/>
  <c r="C57" i="27" l="1" a="1"/>
  <c r="C57" i="27" l="1"/>
  <c r="V42" i="27" l="1" a="1"/>
  <c r="V42" i="27" s="1"/>
  <c r="W42" i="27" s="1" a="1"/>
  <c r="W42" i="27" s="1"/>
  <c r="E58" i="27" s="1"/>
  <c r="E57" i="27"/>
  <c r="X42" i="27" l="1" a="1"/>
  <c r="X42" i="27" s="1"/>
  <c r="Y42" i="27" l="1" a="1"/>
  <c r="Y42" i="27" s="1"/>
  <c r="G57" i="27" l="1" a="1"/>
  <c r="G57" i="27" s="1"/>
  <c r="Z42" i="27" s="1" a="1"/>
  <c r="Z42" i="27" s="1"/>
  <c r="AA42" i="27" s="1" a="1"/>
  <c r="AA42" i="27" s="1"/>
  <c r="I57" i="27" a="1"/>
  <c r="I57" i="27" s="1"/>
  <c r="AB42" i="27" s="1" a="1"/>
  <c r="AB42" i="27" s="1"/>
  <c r="AC42" i="27" s="1" a="1"/>
  <c r="AC42" i="27" s="1"/>
  <c r="F29" i="27"/>
  <c r="K57" i="27" l="1" a="1"/>
  <c r="K57" i="27" s="1"/>
  <c r="E43" i="27" s="1" a="1"/>
  <c r="E43" i="27" s="1"/>
  <c r="E62" i="27" l="1"/>
  <c r="E61" i="27"/>
  <c r="F30" i="27"/>
  <c r="F31" i="27"/>
  <c r="K44" i="27" a="1"/>
  <c r="K44" i="27" s="1"/>
  <c r="E67" i="27"/>
  <c r="L44" i="27" a="1"/>
  <c r="L44" i="27" s="1"/>
  <c r="F43" i="27" a="1"/>
  <c r="F43" i="27" s="1"/>
  <c r="I8" i="27" l="1" a="1"/>
  <c r="I8" i="27" s="1"/>
  <c r="J8" i="27" s="1" a="1"/>
  <c r="J8" i="27" s="1"/>
  <c r="J21" i="27" s="1" a="1"/>
  <c r="J21" i="27" s="1"/>
  <c r="L62" i="27"/>
  <c r="J20" i="27" l="1"/>
  <c r="AF45" i="74" l="1" a="1"/>
  <c r="W45" i="74" s="1"/>
  <c r="AF49" i="74" a="1"/>
  <c r="AF49" i="74" s="1"/>
  <c r="T52" i="74" s="1"/>
  <c r="AF50" i="74" a="1"/>
  <c r="T44" i="74" s="1"/>
  <c r="AF44" i="74" a="1"/>
  <c r="AF44" i="74" s="1"/>
  <c r="W52" i="74" s="1"/>
  <c r="W44" i="74" l="1"/>
  <c r="W46" i="74"/>
  <c r="AF45" i="74"/>
  <c r="W47" i="74" s="1"/>
  <c r="W51" i="74"/>
  <c r="W50" i="74"/>
  <c r="T51" i="74"/>
  <c r="T50" i="74"/>
  <c r="AF50" i="74"/>
  <c r="T47" i="74" s="1"/>
  <c r="T46" i="74"/>
  <c r="T45" i="74"/>
  <c r="T32" i="74" s="1"/>
  <c r="AJ31" i="74" s="1"/>
  <c r="Y36" i="74" l="1"/>
  <c r="Y28" i="74"/>
  <c r="Y30" i="74"/>
  <c r="Y35" i="74"/>
  <c r="Y29" i="74"/>
  <c r="Y31" i="74"/>
  <c r="Y33" i="74"/>
  <c r="Y37" i="74"/>
  <c r="Y32" i="74"/>
  <c r="Y34" i="74"/>
  <c r="Y38" i="74"/>
  <c r="T28" i="74"/>
  <c r="AJ27" i="74" s="1"/>
  <c r="G32" i="74"/>
  <c r="E51" i="74"/>
  <c r="G28" i="74"/>
  <c r="T36" i="74"/>
  <c r="AJ35" i="74" s="1"/>
  <c r="T29" i="74"/>
  <c r="AJ28" i="74" s="1"/>
  <c r="T30" i="74"/>
  <c r="AJ29" i="74" s="1"/>
  <c r="T34" i="74"/>
  <c r="AJ33" i="74" s="1"/>
  <c r="T33" i="74"/>
  <c r="AJ32" i="74" s="1"/>
  <c r="T38" i="74"/>
  <c r="AJ37" i="74" s="1"/>
  <c r="T35" i="74"/>
  <c r="AJ34" i="74" s="1"/>
  <c r="T37" i="74"/>
  <c r="AJ36" i="74" s="1"/>
  <c r="T31" i="74"/>
  <c r="AJ30" i="74" s="1"/>
  <c r="E47" i="74" l="1"/>
  <c r="G38" i="74"/>
  <c r="E57" i="74"/>
  <c r="G33" i="74"/>
  <c r="E52" i="74"/>
  <c r="E54" i="74"/>
  <c r="G35" i="74"/>
  <c r="E48" i="74"/>
  <c r="G29" i="74"/>
  <c r="E50" i="74"/>
  <c r="G31" i="74"/>
  <c r="E56" i="74"/>
  <c r="G37" i="74"/>
  <c r="E53" i="74"/>
  <c r="G34" i="74"/>
  <c r="G30" i="74"/>
  <c r="E49" i="74"/>
  <c r="E55" i="74"/>
  <c r="G36" i="74"/>
  <c r="F47" i="74"/>
  <c r="D23" i="75"/>
  <c r="AJ39" i="74"/>
  <c r="D31" i="75"/>
  <c r="F51" i="74"/>
  <c r="F49" i="74" l="1"/>
  <c r="D27" i="75"/>
  <c r="D35" i="75"/>
  <c r="F53" i="74"/>
  <c r="F56" i="74"/>
  <c r="D41" i="75"/>
  <c r="D29" i="75"/>
  <c r="F50" i="74"/>
  <c r="K51" i="74"/>
  <c r="N31" i="75" s="1"/>
  <c r="I51" i="74"/>
  <c r="F54" i="74"/>
  <c r="D37" i="75"/>
  <c r="F52" i="74"/>
  <c r="D33" i="75"/>
  <c r="D43" i="75"/>
  <c r="F57" i="74"/>
  <c r="D25" i="75"/>
  <c r="F48" i="74"/>
  <c r="K47" i="74"/>
  <c r="N23" i="75" s="1"/>
  <c r="I47" i="74"/>
  <c r="D39" i="75"/>
  <c r="F55" i="74"/>
  <c r="I57" i="74" l="1"/>
  <c r="K57" i="74"/>
  <c r="N43" i="75" s="1"/>
  <c r="L31" i="75"/>
  <c r="J51" i="74"/>
  <c r="M31" i="75" s="1"/>
  <c r="I55" i="74"/>
  <c r="K55" i="74"/>
  <c r="N39" i="75" s="1"/>
  <c r="K52" i="74"/>
  <c r="N33" i="75" s="1"/>
  <c r="I52" i="74"/>
  <c r="K50" i="74"/>
  <c r="N29" i="75" s="1"/>
  <c r="I50" i="74"/>
  <c r="L23" i="75"/>
  <c r="J47" i="74"/>
  <c r="M23" i="75" s="1"/>
  <c r="I53" i="74"/>
  <c r="K53" i="74"/>
  <c r="N35" i="75" s="1"/>
  <c r="K54" i="74"/>
  <c r="N37" i="75" s="1"/>
  <c r="I54" i="74"/>
  <c r="K56" i="74"/>
  <c r="N41" i="75" s="1"/>
  <c r="I56" i="74"/>
  <c r="K48" i="74"/>
  <c r="N25" i="75" s="1"/>
  <c r="I48" i="74"/>
  <c r="K49" i="74"/>
  <c r="N27" i="75" s="1"/>
  <c r="I49" i="74"/>
  <c r="L37" i="75" l="1"/>
  <c r="J54" i="74"/>
  <c r="J52" i="74"/>
  <c r="M33" i="75" s="1"/>
  <c r="L33" i="75"/>
  <c r="J49" i="74"/>
  <c r="M27" i="75" s="1"/>
  <c r="L27" i="75"/>
  <c r="J50" i="74"/>
  <c r="M29" i="75" s="1"/>
  <c r="L29" i="75"/>
  <c r="L35" i="75"/>
  <c r="J53" i="74"/>
  <c r="J55" i="74"/>
  <c r="L39" i="75"/>
  <c r="J56" i="74"/>
  <c r="M41" i="75" s="1"/>
  <c r="L41" i="75"/>
  <c r="J48" i="74"/>
  <c r="M25" i="75" s="1"/>
  <c r="L25" i="75"/>
  <c r="J57" i="74"/>
  <c r="L43" i="75"/>
  <c r="M39" i="75" l="1"/>
  <c r="M35" i="75"/>
  <c r="M37" i="75"/>
  <c r="M43" i="7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Hank527</author>
    <author>tc={E2B1FAF0-D647-449B-B4D1-B2AD9E7AE3F3}</author>
    <author>henry@mhforce.com</author>
    <author>henry zumbrun</author>
    <author>tc={C8168BA7-BC30-44E5-8F03-07E8C95DEF05}</author>
    <author>tc={25284614-FA29-4372-815B-E1AEC7EE7396}</author>
    <author>Henry_000</author>
    <author>Dilip Shah</author>
  </authors>
  <commentList>
    <comment ref="A1" authorId="0" shapeId="0" xr:uid="{00000000-0006-0000-0300-000001000000}">
      <text>
        <r>
          <rPr>
            <b/>
            <sz val="10"/>
            <color indexed="81"/>
            <rFont val="Tahoma"/>
            <family val="2"/>
          </rPr>
          <t>This workbook is not protected and was created by Henry Zumbrun (www.mhforce.com) and Dilip Shah of E=Mc3 solutions.   
This sheet is intended to help labs figure out their CMC's for force or torque measurement.  Morehouse and E=Mc3 offer training course twice a year.  More information can be found at https://mhforce.com/Training/TrainingCourses?tab=Training%20Courses</t>
        </r>
        <r>
          <rPr>
            <sz val="9"/>
            <color indexed="81"/>
            <rFont val="Tahoma"/>
            <family val="2"/>
          </rPr>
          <t xml:space="preserve">
</t>
        </r>
      </text>
    </comment>
    <comment ref="Y4" authorId="0" shapeId="0" xr:uid="{00000000-0006-0000-0300-000004000000}">
      <text>
        <r>
          <rPr>
            <sz val="9"/>
            <color indexed="81"/>
            <rFont val="Tahoma"/>
            <family val="2"/>
          </rPr>
          <t xml:space="preserve">This part calculates interpolated stability values.   Your should enter the values from the calibration certificate.    This sheet is set up to find interpolated values, if different calibration points are used for repeatability 
</t>
        </r>
      </text>
    </comment>
    <comment ref="B11" authorId="1" shapeId="0" xr:uid="{E2B1FAF0-D647-449B-B4D1-B2AD9E7AE3F3}">
      <text>
        <t>[Threaded comment]
Your version of Excel allows you to read this threaded comment; however, any edits to it will get removed if the file is opened in a newer version of Excel. Learn more: https://go.microsoft.com/fwlink/?linkid=870924
Comment:
    This is the resolution we used for our repeatability study load cell</t>
      </text>
    </comment>
    <comment ref="A14" authorId="2" shapeId="0" xr:uid="{278BC3BB-FD2D-4EC2-9327-CA1210E3479B}">
      <text>
        <r>
          <rPr>
            <sz val="9"/>
            <color indexed="81"/>
            <rFont val="Tahoma"/>
            <family val="2"/>
          </rPr>
          <t>Select between three standards  
- ASTM E74 fill in LLF
- ISO 376 Leave Blank (Fill in N22, O22, P22)
- ISO 376 % or % Per Point (Fill in L14:L25) 
- Other Leave Blank (Fill in A22)</t>
        </r>
      </text>
    </comment>
    <comment ref="K15" authorId="3" shapeId="0" xr:uid="{47ADA868-0D3F-4A86-8691-4E7BD063A169}">
      <text>
        <r>
          <rPr>
            <sz val="9"/>
            <color indexed="81"/>
            <rFont val="Tahoma"/>
            <family val="2"/>
          </rPr>
          <t>Ref Standard Stability (top right) should be populated first.  The same number that is used for reference standard stability should match these numbers</t>
        </r>
      </text>
    </comment>
    <comment ref="R22" authorId="4" shapeId="0" xr:uid="{C8168BA7-BC30-44E5-8F03-07E8C95DEF05}">
      <text>
        <t>[Threaded comment]
Your version of Excel allows you to read this threaded comment; however, any edits to it will get removed if the file is opened in a newer version of Excel. Learn more: https://go.microsoft.com/fwlink/?linkid=870924
Comment:
    This is found on the certificate of calibration for ISO 376 certificates. It is optional to add this as the other MU contributors are likely to make the MU larger than the calculated fit</t>
      </text>
    </comment>
    <comment ref="B24" authorId="5" shapeId="0" xr:uid="{25284614-FA29-4372-815B-E1AEC7EE7396}">
      <text>
        <t xml:space="preserve">[Threaded comment]
Your version of Excel allows you to read this threaded comment; however, any edits to it will get removed if the file is opened in a newer version of Excel. Learn more: https://go.microsoft.com/fwlink/?linkid=870924
Comment:
    Used in UCM with less than 1/16 of an inch misalignment. 0.0625 * 0.0005 (load cell spec sheet)
You can use ½ - ¾  of the specification from the LC spec sheet, assuming that you are checking to make sure nothing is touching, tie bars on the side. </t>
      </text>
    </comment>
    <comment ref="A27" authorId="3" shapeId="0" xr:uid="{1D5C3113-5ACA-4269-922A-687A98A5B390}">
      <text>
        <r>
          <rPr>
            <b/>
            <sz val="9"/>
            <color indexed="81"/>
            <rFont val="Tahoma"/>
            <family val="2"/>
          </rPr>
          <t>henry zumbrun:</t>
        </r>
        <r>
          <rPr>
            <sz val="9"/>
            <color indexed="81"/>
            <rFont val="Tahoma"/>
            <family val="2"/>
          </rPr>
          <t xml:space="preserve">
This is the number of non-zero Applied Force pts multiplied by the number of runs.  So if you had 11 pts and 3 runs, the number would be 33.</t>
        </r>
      </text>
    </comment>
    <comment ref="O28" authorId="0" shapeId="0" xr:uid="{00000000-0006-0000-0300-00000C000000}">
      <text>
        <r>
          <rPr>
            <sz val="9"/>
            <color indexed="81"/>
            <rFont val="Tahoma"/>
            <family val="2"/>
          </rPr>
          <t xml:space="preserve">Use % if the CMC of th reference lab is % of applied.   If the reference lab reported CMC in Engineering Units, you will need to fill in the values per point and select Eng. Units in the cell on the right
</t>
        </r>
      </text>
    </comment>
    <comment ref="X28" authorId="2" shapeId="0" xr:uid="{6461C911-44DA-4D30-892D-4D7E8A8F323E}">
      <text>
        <r>
          <rPr>
            <b/>
            <sz val="9"/>
            <color indexed="81"/>
            <rFont val="Tahoma"/>
            <family val="2"/>
          </rPr>
          <t>ISO 376 equation is often a combined uncertainty.  This formula reduces that value to a standard uncertainty.</t>
        </r>
      </text>
    </comment>
    <comment ref="B31" authorId="2" shapeId="0" xr:uid="{3D039F83-D6F4-4A0E-9B1E-3FA317F03D6A}">
      <text>
        <r>
          <rPr>
            <b/>
            <sz val="9"/>
            <color indexed="81"/>
            <rFont val="Tahoma"/>
            <family val="2"/>
          </rPr>
          <t>Ref Standard Stability (top right) should be populated first.  The same number that is used for reference standard stability should match these numbers. The sheet is designed to interpolate values if they do not match and you can overwrite them. In no case should you use values less than the first non-zero force point on the calibration certificate.</t>
        </r>
      </text>
    </comment>
    <comment ref="J43" authorId="6" shapeId="0" xr:uid="{00000000-0006-0000-0300-00000D000000}">
      <text>
        <r>
          <rPr>
            <sz val="9"/>
            <color indexed="81"/>
            <rFont val="Tahoma"/>
            <family val="2"/>
          </rPr>
          <t xml:space="preserve">Many times, when a laboratory needs to look at the "average" of the standard deviations across the many points of data, they will look at the POOLED STANDARD DEVIATION. The way to calculate POOLED STANDARD DEVIATION is to take the AVERAGE of the SUM of the SQUARE of the STANDARD DEVIATIONS (i.e. VARIANCE) and DIVIDE it by the Number (COUNT) of the data points.
Many labs will erroneously calculate the AVERAGE of the STANDARD DEVIATIONS which will be incorrect. and not an acceptable statistical practice.
</t>
        </r>
      </text>
    </comment>
    <comment ref="A47" authorId="7" shapeId="0" xr:uid="{00000000-0006-0000-0300-00000E000000}">
      <text>
        <r>
          <rPr>
            <b/>
            <sz val="9"/>
            <color indexed="81"/>
            <rFont val="Tahoma"/>
            <family val="2"/>
          </rPr>
          <t>This Worksheet is the intellectual Property of E= mc3 Solutions and Morehouse Instrument Company. Permission is granted to the E=mc3 Solution Clients and Morehouse Instrument Company Clients.   All others should contact at emc3solu@aol.com (call 330-328-4400) for purchasing a license.</t>
        </r>
        <r>
          <rPr>
            <sz val="9"/>
            <color indexed="81"/>
            <rFont val="Tahoma"/>
            <family val="2"/>
          </rPr>
          <t xml:space="preserve">
</t>
        </r>
      </text>
    </comment>
    <comment ref="A53" authorId="6" shapeId="0" xr:uid="{00000000-0006-0000-0300-00000F000000}">
      <text>
        <r>
          <rPr>
            <b/>
            <sz val="9"/>
            <color indexed="81"/>
            <rFont val="Tahoma"/>
            <family val="2"/>
          </rPr>
          <t xml:space="preserve">Henry_000: CMC summary uses a per point analysis found on sheets 1-12 that includes both Repeatability and Reproducibility separated.  This sheet gives an overall uncertainty snapshot and uses both repeatability and reproducibility from R &amp; R Between Techs)
</t>
        </r>
        <r>
          <rPr>
            <sz val="9"/>
            <color indexed="81"/>
            <rFont val="Tahoma"/>
            <family val="2"/>
          </rPr>
          <t xml:space="preserve">
</t>
        </r>
      </text>
    </comment>
    <comment ref="F55" authorId="6" shapeId="0" xr:uid="{00000000-0006-0000-0300-000010000000}">
      <text>
        <r>
          <rPr>
            <sz val="9"/>
            <color indexed="81"/>
            <rFont val="Tahoma"/>
            <family val="2"/>
          </rPr>
          <t xml:space="preserve">This number is the number of calibration points minus 1.   It is the Sample Size minus 1  and is Type A Data since it used the standard deviation of a number of test points.
</t>
        </r>
      </text>
    </comment>
    <comment ref="G66" authorId="7" shapeId="0" xr:uid="{00000000-0006-0000-0300-000011000000}">
      <text>
        <r>
          <rPr>
            <sz val="9"/>
            <color indexed="81"/>
            <rFont val="Tahoma"/>
            <family val="2"/>
          </rPr>
          <t xml:space="preserve">This workbook was developed by  Dilip Shah of  E=mc3 solutions and Henry Zumbrun of  Morehouse Instrument Company.   
mhforce.com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Dilip Shah</author>
    <author>Hank527</author>
  </authors>
  <commentList>
    <comment ref="C5" authorId="0" shapeId="0" xr:uid="{508727D2-FA93-4874-B6F9-3C7051D88524}">
      <text>
        <r>
          <rPr>
            <b/>
            <sz val="9"/>
            <color indexed="81"/>
            <rFont val="Tahoma"/>
            <family val="2"/>
          </rPr>
          <t>Dilip Shah:</t>
        </r>
        <r>
          <rPr>
            <sz val="9"/>
            <color indexed="81"/>
            <rFont val="Tahoma"/>
            <family val="2"/>
          </rPr>
          <t xml:space="preserve">
Type A data in the first two rows will corrected to </t>
        </r>
        <r>
          <rPr>
            <b/>
            <sz val="9"/>
            <color indexed="81"/>
            <rFont val="Tahoma"/>
            <family val="2"/>
          </rPr>
          <t>infinite degrees of freedom if</t>
        </r>
        <r>
          <rPr>
            <sz val="9"/>
            <color indexed="81"/>
            <rFont val="Tahoma"/>
            <family val="2"/>
          </rPr>
          <t xml:space="preserve"> "Y" is chosen.</t>
        </r>
      </text>
    </comment>
    <comment ref="F5" authorId="0" shapeId="0" xr:uid="{C1D9BF31-7827-4E5E-91EA-2FEDBB16F952}">
      <text>
        <r>
          <rPr>
            <b/>
            <sz val="9"/>
            <color indexed="81"/>
            <rFont val="Tahoma"/>
            <family val="2"/>
          </rPr>
          <t>Dilip Shah:</t>
        </r>
        <r>
          <rPr>
            <sz val="9"/>
            <color indexed="81"/>
            <rFont val="Tahoma"/>
            <family val="2"/>
          </rPr>
          <t xml:space="preserve">
Allows you to choose </t>
        </r>
        <r>
          <rPr>
            <b/>
            <sz val="9"/>
            <color indexed="81"/>
            <rFont val="Tahoma"/>
            <family val="2"/>
          </rPr>
          <t xml:space="preserve">ONE Custom Divisor </t>
        </r>
        <r>
          <rPr>
            <sz val="9"/>
            <color indexed="81"/>
            <rFont val="Tahoma"/>
            <family val="2"/>
          </rPr>
          <t xml:space="preserve">for the </t>
        </r>
        <r>
          <rPr>
            <b/>
            <sz val="9"/>
            <color indexed="81"/>
            <rFont val="Tahoma"/>
            <family val="2"/>
          </rPr>
          <t xml:space="preserve">Distribution </t>
        </r>
        <r>
          <rPr>
            <sz val="9"/>
            <color indexed="81"/>
            <rFont val="Tahoma"/>
            <family val="2"/>
          </rPr>
          <t>column</t>
        </r>
      </text>
    </comment>
    <comment ref="A38" authorId="0" shapeId="0" xr:uid="{00000000-0006-0000-0200-000004000000}">
      <text>
        <r>
          <rPr>
            <b/>
            <sz val="8"/>
            <color indexed="81"/>
            <rFont val="Tahoma"/>
            <family val="2"/>
          </rPr>
          <t>Dilip Shah:</t>
        </r>
        <r>
          <rPr>
            <sz val="8"/>
            <color indexed="81"/>
            <rFont val="Tahoma"/>
            <family val="2"/>
          </rPr>
          <t xml:space="preserve">
Use for specifications, or where no other information is available. It is the most conservative distribution.</t>
        </r>
      </text>
    </comment>
    <comment ref="A39" authorId="0" shapeId="0" xr:uid="{00000000-0006-0000-0200-000005000000}">
      <text>
        <r>
          <rPr>
            <b/>
            <sz val="8"/>
            <color indexed="81"/>
            <rFont val="Tahoma"/>
            <family val="2"/>
          </rPr>
          <t>Dilip Shah:</t>
        </r>
        <r>
          <rPr>
            <sz val="8"/>
            <color indexed="81"/>
            <rFont val="Tahoma"/>
            <family val="2"/>
          </rPr>
          <t xml:space="preserve">
Use for parameters that have a central tendency. Examples: Frequency measurements.</t>
        </r>
      </text>
    </comment>
    <comment ref="A40" authorId="0" shapeId="0" xr:uid="{00000000-0006-0000-0200-000006000000}">
      <text>
        <r>
          <rPr>
            <b/>
            <sz val="8"/>
            <color indexed="81"/>
            <rFont val="Tahoma"/>
            <family val="2"/>
          </rPr>
          <t>Dilip Shah:</t>
        </r>
        <r>
          <rPr>
            <sz val="8"/>
            <color indexed="81"/>
            <rFont val="Tahoma"/>
            <family val="2"/>
          </rPr>
          <t xml:space="preserve">
Use for Cyclical Type of data. Example: Temperature control</t>
        </r>
      </text>
    </comment>
    <comment ref="A41" authorId="0" shapeId="0" xr:uid="{00000000-0006-0000-0200-000007000000}">
      <text>
        <r>
          <rPr>
            <b/>
            <sz val="8"/>
            <color indexed="81"/>
            <rFont val="Tahoma"/>
            <family val="2"/>
          </rPr>
          <t>Dilip Shah:</t>
        </r>
        <r>
          <rPr>
            <sz val="8"/>
            <color indexed="81"/>
            <rFont val="Tahoma"/>
            <family val="2"/>
          </rPr>
          <t xml:space="preserve">
</t>
        </r>
        <r>
          <rPr>
            <sz val="8"/>
            <color indexed="10"/>
            <rFont val="Tahoma"/>
            <family val="2"/>
          </rPr>
          <t xml:space="preserve">e.g. </t>
        </r>
        <r>
          <rPr>
            <b/>
            <sz val="8"/>
            <color indexed="12"/>
            <rFont val="Tahoma"/>
            <family val="2"/>
          </rPr>
          <t>0.0001</t>
        </r>
        <r>
          <rPr>
            <b/>
            <sz val="8"/>
            <color indexed="10"/>
            <rFont val="Tahoma"/>
            <family val="2"/>
          </rPr>
          <t xml:space="preserve"> </t>
        </r>
        <r>
          <rPr>
            <sz val="8"/>
            <color indexed="10"/>
            <rFont val="Tahoma"/>
            <family val="2"/>
          </rPr>
          <t>to be entered in</t>
        </r>
        <r>
          <rPr>
            <b/>
            <sz val="8"/>
            <color indexed="12"/>
            <rFont val="Tahoma"/>
            <family val="2"/>
          </rPr>
          <t xml:space="preserve"> Magnitude Column</t>
        </r>
      </text>
    </comment>
    <comment ref="F48" authorId="1" shapeId="0" xr:uid="{00000000-0006-0000-0200-000008000000}">
      <text>
        <r>
          <rPr>
            <b/>
            <sz val="9"/>
            <color indexed="81"/>
            <rFont val="Tahoma"/>
            <family val="2"/>
          </rPr>
          <t>Hank527:</t>
        </r>
        <r>
          <rPr>
            <sz val="9"/>
            <color indexed="81"/>
            <rFont val="Tahoma"/>
            <family val="2"/>
          </rPr>
          <t xml:space="preserve">
If you are not working in Engineering Units these values will need to be converted to like units.   If these are in mV/V you will need to convert to force units.   Formula to the right should do this for you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Hank527</author>
    <author>henry zumbrun</author>
  </authors>
  <commentList>
    <comment ref="A1" authorId="0" shapeId="0" xr:uid="{00000000-0006-0000-0000-000001000000}">
      <text>
        <r>
          <rPr>
            <b/>
            <sz val="10"/>
            <color indexed="81"/>
            <rFont val="Tahoma"/>
            <family val="2"/>
          </rPr>
          <t xml:space="preserve">This workbook is not protected and was created by Henry Zumbrun (www.mhforce.com) and Dilip Shah of E=Mc3 solutions.   </t>
        </r>
        <r>
          <rPr>
            <sz val="9"/>
            <color indexed="81"/>
            <rFont val="Tahoma"/>
            <family val="2"/>
          </rPr>
          <t xml:space="preserve">
</t>
        </r>
      </text>
    </comment>
    <comment ref="Q7" authorId="0" shapeId="0" xr:uid="{00000000-0006-0000-0000-000003000000}">
      <text>
        <r>
          <rPr>
            <sz val="9"/>
            <color indexed="81"/>
            <rFont val="Tahoma"/>
            <family val="2"/>
          </rPr>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r>
      </text>
    </comment>
    <comment ref="E26" authorId="1" shapeId="0" xr:uid="{6D3680CE-D485-4950-9ED3-F7EEDBEF98FD}">
      <text>
        <r>
          <rPr>
            <sz val="9"/>
            <color indexed="81"/>
            <rFont val="Tahoma"/>
            <family val="2"/>
          </rPr>
          <t xml:space="preserve">Future Release may do higher order fit. Currently limited to straight line
</t>
        </r>
      </text>
    </comment>
    <comment ref="I42" authorId="1" shapeId="0" xr:uid="{E372B80E-7AD0-4153-8A69-0E0C8E265101}">
      <text>
        <r>
          <rPr>
            <sz val="9"/>
            <color indexed="81"/>
            <rFont val="Tahoma"/>
            <family val="2"/>
          </rPr>
          <t xml:space="preserve">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<sst xmlns="http://schemas.openxmlformats.org/spreadsheetml/2006/main" count="1552" uniqueCount="719">
  <si>
    <t>Magnitude</t>
  </si>
  <si>
    <t xml:space="preserve">Type </t>
  </si>
  <si>
    <t>Distribution</t>
  </si>
  <si>
    <t>Divisor</t>
  </si>
  <si>
    <t>df</t>
  </si>
  <si>
    <t>Std. Uncert</t>
  </si>
  <si>
    <t>% Contribution</t>
  </si>
  <si>
    <t>A</t>
  </si>
  <si>
    <t>Normal</t>
  </si>
  <si>
    <t>Repeatability</t>
  </si>
  <si>
    <t>B</t>
  </si>
  <si>
    <t>Resolution</t>
  </si>
  <si>
    <t>Effective Degrees of Freedom</t>
  </si>
  <si>
    <t>Expanded (68.26% k=1)</t>
  </si>
  <si>
    <t>Expanded (95% k=1.96)</t>
  </si>
  <si>
    <t>Expanded (95.45% k=2)</t>
  </si>
  <si>
    <t>Expanded (99% k=2.58)</t>
  </si>
  <si>
    <t>Expanded (99.73% k=3)</t>
  </si>
  <si>
    <t>None</t>
  </si>
  <si>
    <t>Rectangular</t>
  </si>
  <si>
    <t>Triangular</t>
  </si>
  <si>
    <t>Coverage Factor (k) =</t>
  </si>
  <si>
    <t>Uncertainty Contributor</t>
  </si>
  <si>
    <t>Measurement Uncertainty Budget Worksheet</t>
  </si>
  <si>
    <t>Laboratory</t>
  </si>
  <si>
    <t>Parameter</t>
  </si>
  <si>
    <t>Range</t>
  </si>
  <si>
    <t>Sub-Range</t>
  </si>
  <si>
    <t>Technician</t>
  </si>
  <si>
    <t>Date</t>
  </si>
  <si>
    <t>Standards Used</t>
  </si>
  <si>
    <t>u^4/df</t>
  </si>
  <si>
    <t>Variance (Std. Uncert^2)</t>
  </si>
  <si>
    <t>Error</t>
  </si>
  <si>
    <t>Slope</t>
  </si>
  <si>
    <t>Intercept</t>
  </si>
  <si>
    <t>Calculated</t>
  </si>
  <si>
    <t>Residuals</t>
  </si>
  <si>
    <t>Run 1</t>
  </si>
  <si>
    <t>Run 2</t>
  </si>
  <si>
    <t>Run 3</t>
  </si>
  <si>
    <t>Average</t>
  </si>
  <si>
    <t>Applied</t>
  </si>
  <si>
    <t>Std. Dev.</t>
  </si>
  <si>
    <t>Repeatability (Of Error)</t>
  </si>
  <si>
    <t>Average Standard Deviation of Runs</t>
  </si>
  <si>
    <t>LBF</t>
  </si>
  <si>
    <t>FORCE</t>
  </si>
  <si>
    <t>Morehouse</t>
  </si>
  <si>
    <t>HZ</t>
  </si>
  <si>
    <t>Expanded Uncertainty</t>
  </si>
  <si>
    <t>Expanded Uncertainty %</t>
  </si>
  <si>
    <r>
      <t>Combined Uncertainty (u</t>
    </r>
    <r>
      <rPr>
        <b/>
        <vertAlign val="subscript"/>
        <sz val="11"/>
        <color theme="1"/>
        <rFont val="Calibri"/>
        <family val="2"/>
        <scheme val="minor"/>
      </rPr>
      <t>c</t>
    </r>
    <r>
      <rPr>
        <b/>
        <sz val="11"/>
        <color theme="1"/>
        <rFont val="Calibri"/>
        <family val="2"/>
        <scheme val="minor"/>
      </rPr>
      <t>)=</t>
    </r>
  </si>
  <si>
    <t>Expanded Uncertainty (U) K =</t>
  </si>
  <si>
    <t>Environmental Conditions</t>
  </si>
  <si>
    <t>Ref Standard Resolution</t>
  </si>
  <si>
    <t>Resolution of UUT</t>
  </si>
  <si>
    <t>Stability of  Ref Standard</t>
  </si>
  <si>
    <t>Resolution UUT</t>
  </si>
  <si>
    <t xml:space="preserve">Ref CMC </t>
  </si>
  <si>
    <t xml:space="preserve">Date </t>
  </si>
  <si>
    <t>Reduced Data</t>
  </si>
  <si>
    <t>Force Applied</t>
  </si>
  <si>
    <t>REF</t>
  </si>
  <si>
    <t>LAB</t>
  </si>
  <si>
    <t>Difference</t>
  </si>
  <si>
    <t xml:space="preserve">Lab Uncertainty </t>
  </si>
  <si>
    <t xml:space="preserve">Ref Uncertainty </t>
  </si>
  <si>
    <t>En</t>
  </si>
  <si>
    <t xml:space="preserve">Pass/Fail </t>
  </si>
  <si>
    <t>Test Point #</t>
  </si>
  <si>
    <t>Beg 0</t>
  </si>
  <si>
    <t>End 0</t>
  </si>
  <si>
    <t>Variance</t>
  </si>
  <si>
    <t>Reproducibility</t>
  </si>
  <si>
    <r>
      <t>Combined Uncertainty (u</t>
    </r>
    <r>
      <rPr>
        <b/>
        <vertAlign val="subscript"/>
        <sz val="11"/>
        <color theme="1"/>
        <rFont val="Calibri"/>
        <family val="2"/>
        <scheme val="minor"/>
      </rPr>
      <t>c</t>
    </r>
    <r>
      <rPr>
        <b/>
        <sz val="11"/>
        <color theme="1"/>
        <rFont val="Calibri"/>
        <family val="2"/>
        <scheme val="minor"/>
      </rPr>
      <t>) =</t>
    </r>
  </si>
  <si>
    <t>Effective Degrees of Freedom Formula</t>
  </si>
  <si>
    <t>Expanded Uncertainty (U) =</t>
  </si>
  <si>
    <t>Repeatability and Reproducibility Worksheet</t>
  </si>
  <si>
    <t>Technician 3</t>
  </si>
  <si>
    <t>Technician 4</t>
  </si>
  <si>
    <t xml:space="preserve">Technician 5 </t>
  </si>
  <si>
    <t>Technician 6</t>
  </si>
  <si>
    <t>1/Divisor</t>
  </si>
  <si>
    <t>U - Shaped</t>
  </si>
  <si>
    <t>Resolution of instrument</t>
  </si>
  <si>
    <t>Coverage Factor (k)</t>
  </si>
  <si>
    <t>Confidence Level</t>
  </si>
  <si>
    <t>Std. Dev. Of the Mean</t>
  </si>
  <si>
    <t>Repeatability Between Techs</t>
  </si>
  <si>
    <t>Reproducibility Between Techs</t>
  </si>
  <si>
    <t xml:space="preserve">Ref Standard Stability </t>
  </si>
  <si>
    <t xml:space="preserve">This sheet is to be used to test the repeatability and reproducibility between technicians </t>
  </si>
  <si>
    <t>Run 4</t>
  </si>
  <si>
    <t xml:space="preserve">This sheet is to be used as the master form to calculate CMC for PT 1 </t>
  </si>
  <si>
    <t>%</t>
  </si>
  <si>
    <t xml:space="preserve">FORCE </t>
  </si>
  <si>
    <t>APPLIED</t>
  </si>
  <si>
    <t xml:space="preserve">Change From </t>
  </si>
  <si>
    <t>Previous %</t>
  </si>
  <si>
    <t>Effect</t>
  </si>
  <si>
    <t xml:space="preserve">Temperature </t>
  </si>
  <si>
    <t>Technician Initials</t>
  </si>
  <si>
    <t>Date:</t>
  </si>
  <si>
    <t>Temperature Spec per degree C %</t>
  </si>
  <si>
    <t>This is found on the load cell specification sheet. Temperature Effect on Sensitivity, % RDG/100 F</t>
  </si>
  <si>
    <t xml:space="preserve">Formula </t>
  </si>
  <si>
    <t xml:space="preserve">The grey column Ref CMC is what </t>
  </si>
  <si>
    <t xml:space="preserve">populates individual sheets </t>
  </si>
  <si>
    <t>Expanded Uncertainty (U)  =</t>
  </si>
  <si>
    <t>This sheet is to be used as the master form to calculate CMC for PT 2</t>
  </si>
  <si>
    <t>This sheet is to be used as the master form to calculate CMC for PT 3</t>
  </si>
  <si>
    <t>This sheet is to be used as the master form to calculate CMC for PT 4</t>
  </si>
  <si>
    <t>This sheet is to be used as the master form to calculate CMC for PT 5</t>
  </si>
  <si>
    <t>This sheet is to be used as the master form to calculate CMC for PT 6</t>
  </si>
  <si>
    <t>This sheet is to be used as the master form to calculate CMC for PT 7</t>
  </si>
  <si>
    <t>This sheet is to be used as the master form to calculate CMC for PT 8</t>
  </si>
  <si>
    <t>This sheet is to be used as the master form to calculate CMC for PT 9</t>
  </si>
  <si>
    <t>This sheet is to be used as the master form to calculate CMC for PT 11</t>
  </si>
  <si>
    <t>This sheet is to be used as the master form to calculate CMC for PT 10</t>
  </si>
  <si>
    <t>This sheet is to be used as the master form to calculate CMC for PT 12</t>
  </si>
  <si>
    <t>Sheet #</t>
  </si>
  <si>
    <t>Note:  This is a summary sheet for all test points</t>
  </si>
  <si>
    <t>Morehouse Measurement Uncertainty Calibration and Measurement Capability Worksheet</t>
  </si>
  <si>
    <t xml:space="preserve">Estimated Expanded </t>
  </si>
  <si>
    <t xml:space="preserve">Enter Force </t>
  </si>
  <si>
    <t>Value Below</t>
  </si>
  <si>
    <t>Measurement Uncertainty Budget Summary</t>
  </si>
  <si>
    <t>Note:  Force value should be entered between the segmented ranges above to calculate MU per point</t>
  </si>
  <si>
    <t>Run1</t>
  </si>
  <si>
    <t>Run2</t>
  </si>
  <si>
    <t>Run3</t>
  </si>
  <si>
    <t>Run4</t>
  </si>
  <si>
    <t>STD DEV</t>
  </si>
  <si>
    <t>Avg Std Dev of Runs</t>
  </si>
  <si>
    <t>NO</t>
  </si>
  <si>
    <t>YES</t>
  </si>
  <si>
    <t>CONVERTED</t>
  </si>
  <si>
    <t>per degree C of Environment</t>
  </si>
  <si>
    <t>Ref Laboratory Uncertainty Per Point</t>
  </si>
  <si>
    <t xml:space="preserve">Force </t>
  </si>
  <si>
    <t>Conv %</t>
  </si>
  <si>
    <t xml:space="preserve">% </t>
  </si>
  <si>
    <t>MUST SELECT</t>
  </si>
  <si>
    <t>Force</t>
  </si>
  <si>
    <t xml:space="preserve">Repeatability of UUT   </t>
  </si>
  <si>
    <t xml:space="preserve">Max Temperature Variation </t>
  </si>
  <si>
    <t>Eng. Units</t>
  </si>
  <si>
    <t>Conv Repeatability Data To Eng. Units</t>
  </si>
  <si>
    <t xml:space="preserve">% or Eng. </t>
  </si>
  <si>
    <t xml:space="preserve">Slope Regression Worksheet </t>
  </si>
  <si>
    <t>Reading</t>
  </si>
  <si>
    <t xml:space="preserve">Actual </t>
  </si>
  <si>
    <t>SLOPE</t>
  </si>
  <si>
    <t>INTERCEPT</t>
  </si>
  <si>
    <t>STABILITY</t>
  </si>
  <si>
    <t xml:space="preserve">This is used when the points tested for stability </t>
  </si>
  <si>
    <t>do not match the points calibrated</t>
  </si>
  <si>
    <t>Interp</t>
  </si>
  <si>
    <t>N/A</t>
  </si>
  <si>
    <t>Expanded UNC (CMC)</t>
  </si>
  <si>
    <t>UNC PER POINT</t>
  </si>
  <si>
    <t>LAB %</t>
  </si>
  <si>
    <t>Convert to Eng Unit (Use Values Above)</t>
  </si>
  <si>
    <t>Force Value corresponding to R &amp; R Output</t>
  </si>
  <si>
    <t>a2=</t>
  </si>
  <si>
    <t>a3=</t>
  </si>
  <si>
    <t>a0=</t>
  </si>
  <si>
    <t>a1=</t>
  </si>
  <si>
    <t>Uncertainty Per Point Fit Coefficients</t>
  </si>
  <si>
    <t>Reproducibility &amp; Rep ( R &amp; R sheet)</t>
  </si>
  <si>
    <t>Resolution per count</t>
  </si>
  <si>
    <t>Interpolation</t>
  </si>
  <si>
    <t>Value</t>
  </si>
  <si>
    <t>Miscellaneous Error</t>
  </si>
  <si>
    <t>Other (Leave Blank)</t>
  </si>
  <si>
    <t xml:space="preserve">* This is your ASTM E74 LLF Found on Your ASTM E74 Report.  It will be converted to a pooled std dev </t>
  </si>
  <si>
    <t>Leave this section blank and fill in Uncertainty Coefficients In Cell N22 From Your Calibration Report or ISO 376 Annex C</t>
  </si>
  <si>
    <t>Expanded Uncertainty = C0 + (C1 * F) + (C2 * F)^2</t>
  </si>
  <si>
    <t>C0</t>
  </si>
  <si>
    <t>C1</t>
  </si>
  <si>
    <t>C2</t>
  </si>
  <si>
    <t>Where F = Force Applied, C0 = Intercept, C1 = Slope</t>
  </si>
  <si>
    <t>UNCERTAINTY</t>
  </si>
  <si>
    <t>ISO 376</t>
  </si>
  <si>
    <t>ISO 376 Uncertainty</t>
  </si>
  <si>
    <t>If non ASTM E74 or ISO 376 use this field &amp; use nonlinearity or SEB if making ascending and descending measurements</t>
  </si>
  <si>
    <t>NOTE:  ONLY ENTER INFO IN GREY BOXES  IN SECTION 1 UNLESS CHANGING DISTRIBUTION</t>
  </si>
  <si>
    <t>11.14.2018</t>
  </si>
  <si>
    <t>Changes</t>
  </si>
  <si>
    <t xml:space="preserve">Changed some references to the new ISO/IEC 17025 standard and fixed an error with R &amp; R between techs as degrees of freedom was not calculating properly.   </t>
  </si>
  <si>
    <t>ISO</t>
  </si>
  <si>
    <t>Reference  Standard Information</t>
  </si>
  <si>
    <t>Start on this sheet and fill in only the light grey boxes. Choose a drop down option for the dark grey boxes.</t>
  </si>
  <si>
    <t>Morehouse CMC (Ref Lab)</t>
  </si>
  <si>
    <t>Optional: If entering Engineering Units, leave blank and complete the Ref Laboratory Uncertainty Per Point (P29 - 40)</t>
  </si>
  <si>
    <t>Resolution of Reference Standard</t>
  </si>
  <si>
    <t>ISO 376 Uncertainty Coefficients</t>
  </si>
  <si>
    <t xml:space="preserve">Section 1:  Data Entry </t>
  </si>
  <si>
    <t>Measurement Uncertainty Budget Worksheet Data Analysis (Choose a drop down option for the dark grey boxes.)</t>
  </si>
  <si>
    <t>Section 2: Data Analysis</t>
  </si>
  <si>
    <t>This sheet is to be used as the master form to calculate CMC for a range of up to 12 points. Its primary purpose is to aid in figuring CMC by including repeatability and resolution of an Unit Under Test (UUT).</t>
  </si>
  <si>
    <t>Cell</t>
  </si>
  <si>
    <t>Description</t>
  </si>
  <si>
    <t>Notes</t>
  </si>
  <si>
    <t>B4</t>
  </si>
  <si>
    <t>B5</t>
  </si>
  <si>
    <t>B6</t>
  </si>
  <si>
    <t>B7</t>
  </si>
  <si>
    <t>B8</t>
  </si>
  <si>
    <t>B10 &amp; C10</t>
  </si>
  <si>
    <t>This is the resolution of the unit under test (UUT) that you are using for the Repeatability Study (what you are testing). CMC requires repeatability studies. We recommend using a stable device with high resolution. An example of how to calculate resolution is in the tab labeled "Calc Resolution Ex".</t>
  </si>
  <si>
    <t>A13</t>
  </si>
  <si>
    <t>Standards Drop Down</t>
  </si>
  <si>
    <t>Choose one of the three options from the drop down.</t>
  </si>
  <si>
    <t>B13 &amp; C13</t>
  </si>
  <si>
    <t>ASTM E74 LLF</t>
  </si>
  <si>
    <t>B14 &amp; C14</t>
  </si>
  <si>
    <t>Resolution of Reference</t>
  </si>
  <si>
    <t xml:space="preserve">The resolution of the reference standard is found on your calibration report.   </t>
  </si>
  <si>
    <t>B15</t>
  </si>
  <si>
    <t>B18</t>
  </si>
  <si>
    <t>Max Temperature Variation per degree C of Environment</t>
  </si>
  <si>
    <t>B20</t>
  </si>
  <si>
    <t>Optional: If entering Engineering Units, leave blank and complete the Ref Laboratory Uncertainty Per Point (P29 - 40). This is the reference lab CMC. It is the CMC statement for the range calibrated found on the certificate of calibration.</t>
  </si>
  <si>
    <t>B22</t>
  </si>
  <si>
    <t>B23</t>
  </si>
  <si>
    <t>B25</t>
  </si>
  <si>
    <t>Conv Repeatability Data To Eng. Units Drop Down</t>
  </si>
  <si>
    <t>If data is in engineering units LBF, KGF, or N, then choose no. If data is in DIV, mV/V or other non-engineering unit, then choose yes.</t>
  </si>
  <si>
    <t>N7-18 &amp; O7-18</t>
  </si>
  <si>
    <t>You will need to have two calibrations, performed at different times to characterize the Reference Standard Stability. You should use a per point analysis between the previous calibration and your current calibration. If you do not have previous data, we suggest a conservative number. For Morehouse Precision load cells, we believe 0.05 % of applied force could be used from 10 % of Capacity through 100 %. Below 10 LBF, we believe 0.15 % of applied could be used.</t>
  </si>
  <si>
    <t>N22, O22, P22</t>
  </si>
  <si>
    <t>B29-40</t>
  </si>
  <si>
    <t>After you complete the Ref Standard Stability (N7-18), the same numbers will automatically be entered here.</t>
  </si>
  <si>
    <t>C29-40, D29-40, E29-40, F29-40</t>
  </si>
  <si>
    <t>Repeatability of UUT (Run1-Run4)</t>
  </si>
  <si>
    <t>S29-40</t>
  </si>
  <si>
    <t>% or Eng. Drop Down</t>
  </si>
  <si>
    <t>Choose % from the drop down if the CMC of the reference lab is % of applied. Choose Eng. Units  if the reference lab reported CMC in Engineering Units.</t>
  </si>
  <si>
    <t>P29-40</t>
  </si>
  <si>
    <t>Optional: If the reference lab reported CMC in Engineering Units, then fill in the values per point.</t>
  </si>
  <si>
    <t>Uncertainty Worksheet - Section2: Data Analysis</t>
  </si>
  <si>
    <t>D51-60</t>
  </si>
  <si>
    <t xml:space="preserve">It may be necessary to select the appropriate distribution to change the pre-selected values. Once everything is selected, the uncertainty per test point will be determined on each test point. </t>
  </si>
  <si>
    <t>Definitions</t>
  </si>
  <si>
    <t xml:space="preserve">This is the max temperature variation of load cells, which is found on the specification sheet under Temperature - Effect on Sensitivity, % reading/degrees. During a typical calibration in a tightly controlled environment the temperature varies by no more than 1 degree C. Environmental  factors - This would be the difference in temperature from 23 degree C.  This is 0.0015 % per degree C from 23. If you are operating at 20 degrees C, you would multiply 0.0015 % by 3.   Example provided is from a Morehouse load cell.  Specifications can vary.  </t>
  </si>
  <si>
    <t>This can be measurement error, creep, side load sensitivity or other known error sources. For example, if using a Morehouse UCM and Morehouse Cell the press will transfer the force applied to the load cell at an angle no more than 1/16th inch measured off. Example provided is from a Morehouse load cell.  centerline of the load cell. This number is side load sensitivity 0.05 % * 0.0625 = 0.003 %.</t>
  </si>
  <si>
    <t>This spreadsheet is provided by Morehouse Instrument Company. It is to be used as a guide to help calculate CMC for Force or Torque Measurements. Most of this workbook is setup for labs following the ASTM E74 standard.  With slight modification the uncertainty sheet could be used for instruments calibrated in accordance with another test method or standard. Only enter information in light grey boxes and choose a drop down for the dark grey boxes. All information entered must converted to like units.  
Disclaimer: This template is for simplified calculation of CMC compliments of E=mc3 Solutions and Morehouse Instrument Company who assumes no responsibility or liability for any unintentional errors.  It remains the users responsibility to validate the calculations and confirm suitability for practical purpose. Dilip Shah of E=mc3 Solutions can be reached at emc3solu@aol.com and Henry Zumbrun of Morehouse can be reached at hzumbrun@mhforce.com.</t>
  </si>
  <si>
    <t>If you chose ASTM E74 or ISO 376 in A13, then leave blank. If you chose Other in A13, then use this field to enter Tolerance with nonlinearity or SEB if making ascending and descending measurements. When not using ASTM E74, SEB output can be used, or the square root of the sum of the squares for non-linearity worst case and hysteresis worst case.</t>
  </si>
  <si>
    <t>The scope of accreditation of an accredited calibration laboratory shall include the Calibration and Measurement Capability (CMC) expressed in terms of:</t>
  </si>
  <si>
    <t xml:space="preserve">Note:  </t>
  </si>
  <si>
    <t>Weights used for force measurement require the correction for the effects of Local Gravity, Air Buoyancy and must be adjusted to within 0.005 % of nominal force value.  The uncertainty budget for primary standards also needs to consider possible force-generating mechanisms other than gravity and air buoyancy, including magnetic, electrostatic and aerodynamic effects.</t>
  </si>
  <si>
    <t xml:space="preserve">Example: a laboratory performing calibrations from 10 N through 10,000 N. The ranges calibrated may be 10 N - 100 N, 100 N - 1,000 N, and 1 000 N – 10 000 N. Recommended practice would be to take test points at 10, 20, 30, 40, 50, 60, 70, 80, 90, 100, 200, 300, 400, 500, 600, 700, 800, 900, 1 000, 2 000, 3 000, 4 000, 5 000, 6 000, 7 000, 8 000, 9 000, and </t>
  </si>
  <si>
    <t xml:space="preserve">10 000 N.  </t>
  </si>
  <si>
    <t xml:space="preserve">Note 1: </t>
  </si>
  <si>
    <t xml:space="preserve">For this application zero should never be considered as a first test point.  A force measuring instrument should not be used to calibrate other force measuring instruments outside the range it was calibrated over.  </t>
  </si>
  <si>
    <t>Note 2:</t>
  </si>
  <si>
    <t xml:space="preserve">A force measuring instrument calibrated from 10 % through 100 % of its range may not be capable of calibrating force measuring instruments outside of this range.   </t>
  </si>
  <si>
    <t>Leave Blank if Not Used</t>
  </si>
  <si>
    <t xml:space="preserve">Uncertainty Worksheet - Section 1: Data Entry </t>
  </si>
  <si>
    <t>E25-J44</t>
  </si>
  <si>
    <t>J50</t>
  </si>
  <si>
    <t>R &amp; R Study between multiple techs or machines</t>
  </si>
  <si>
    <t>Convert to Eng Units</t>
  </si>
  <si>
    <t>How to Calculate Resolution of a Force-Measuring Device</t>
  </si>
  <si>
    <t>Multiply by readability</t>
  </si>
  <si>
    <t>Enter Force Applied</t>
  </si>
  <si>
    <t>Step 1</t>
  </si>
  <si>
    <t>Step 2</t>
  </si>
  <si>
    <t>Step 3</t>
  </si>
  <si>
    <t>Enter Output of Instrument Corresponding to Force Applied</t>
  </si>
  <si>
    <t>Example 1:</t>
  </si>
  <si>
    <t>Device Reads in mV/V &amp; Counts by 1</t>
  </si>
  <si>
    <t>Measured Output of UUT</t>
  </si>
  <si>
    <t>Readability of UUT</t>
  </si>
  <si>
    <t>Count by</t>
  </si>
  <si>
    <t>Resolution =</t>
  </si>
  <si>
    <t>Example 2:</t>
  </si>
  <si>
    <t>Example 3:</t>
  </si>
  <si>
    <t>Multiple Points mV/V</t>
  </si>
  <si>
    <t>Average Resolution</t>
  </si>
  <si>
    <t>Examples</t>
  </si>
  <si>
    <t xml:space="preserve">Step 4 </t>
  </si>
  <si>
    <t>Count By</t>
  </si>
  <si>
    <t>If we have multiple force points, we should then take the average resolution is shown in example 2</t>
  </si>
  <si>
    <t>Device Reads in lbf &amp; Counts by 2</t>
  </si>
  <si>
    <r>
      <t>ASTM E74 – Standard Practices for Calibration and Veriﬁcation for Force-Measuring Instruments:</t>
    </r>
    <r>
      <rPr>
        <sz val="11"/>
        <color theme="1"/>
        <rFont val="Calibri"/>
        <family val="2"/>
        <scheme val="minor"/>
      </rPr>
      <t xml:space="preserve">  ASTM E74 is a practice that specifies procedures for the calibration of force-measuring instruments.</t>
    </r>
  </si>
  <si>
    <r>
      <t>Best existing force measuring instrument (ILAC P14)</t>
    </r>
    <r>
      <rPr>
        <sz val="11"/>
        <color theme="1"/>
        <rFont val="Calibri"/>
        <family val="2"/>
        <scheme val="minor"/>
      </rPr>
      <t xml:space="preserve">: The term “best existing force measuring instrument” is understood as a force measuring instrument to be calibrated that is commercially or otherwise available for customers, even if it has a special performance (stability) or has a long history of calibration. For force calibrations this is often a very stable force transducer (load cell) and indicator with enough resolution to observe differences in repeatability conditions. </t>
    </r>
  </si>
  <si>
    <r>
      <t>Calibration and Measurement Capability (ILAC-P14):</t>
    </r>
    <r>
      <rPr>
        <sz val="11"/>
        <color theme="1"/>
        <rFont val="Calibri"/>
        <family val="2"/>
        <scheme val="minor"/>
      </rPr>
      <t xml:space="preserve"> A CMC is a Calibration and Measurement Capability available to customers under normal conditions:</t>
    </r>
  </si>
  <si>
    <r>
      <t>a)</t>
    </r>
    <r>
      <rPr>
        <sz val="7"/>
        <color theme="1"/>
        <rFont val="Calibri"/>
        <family val="2"/>
        <scheme val="minor"/>
      </rPr>
      <t xml:space="preserve">    </t>
    </r>
    <r>
      <rPr>
        <sz val="11"/>
        <color theme="1"/>
        <rFont val="Calibri"/>
        <family val="2"/>
        <scheme val="minor"/>
      </rPr>
      <t xml:space="preserve">as described in the laboratory’s scope of accreditation granted by a signatory to the ILAC Arrangement; or </t>
    </r>
  </si>
  <si>
    <r>
      <t>b)</t>
    </r>
    <r>
      <rPr>
        <sz val="7"/>
        <color theme="1"/>
        <rFont val="Calibri"/>
        <family val="2"/>
        <scheme val="minor"/>
      </rPr>
      <t xml:space="preserve">    </t>
    </r>
    <r>
      <rPr>
        <sz val="11"/>
        <color theme="1"/>
        <rFont val="Calibri"/>
        <family val="2"/>
        <scheme val="minor"/>
      </rPr>
      <t>as published in the BIPM key comparison database (KCDB) of the CIPM MRA.</t>
    </r>
  </si>
  <si>
    <r>
      <t>a)</t>
    </r>
    <r>
      <rPr>
        <sz val="7"/>
        <color theme="1"/>
        <rFont val="Calibri"/>
        <family val="2"/>
        <scheme val="minor"/>
      </rPr>
      <t xml:space="preserve">    </t>
    </r>
    <r>
      <rPr>
        <sz val="11"/>
        <color theme="1"/>
        <rFont val="Calibri"/>
        <family val="2"/>
        <scheme val="minor"/>
      </rPr>
      <t>measurand or reference material;</t>
    </r>
  </si>
  <si>
    <r>
      <t>b)</t>
    </r>
    <r>
      <rPr>
        <sz val="7"/>
        <color theme="1"/>
        <rFont val="Calibri"/>
        <family val="2"/>
        <scheme val="minor"/>
      </rPr>
      <t xml:space="preserve">    </t>
    </r>
    <r>
      <rPr>
        <sz val="11"/>
        <color theme="1"/>
        <rFont val="Calibri"/>
        <family val="2"/>
        <scheme val="minor"/>
      </rPr>
      <t>calibration/measurement method/procedure and/or type of instrument/material to be calibrated/measured;</t>
    </r>
  </si>
  <si>
    <r>
      <t>c)</t>
    </r>
    <r>
      <rPr>
        <sz val="7"/>
        <color theme="1"/>
        <rFont val="Calibri"/>
        <family val="2"/>
        <scheme val="minor"/>
      </rPr>
      <t xml:space="preserve">     </t>
    </r>
    <r>
      <rPr>
        <sz val="11"/>
        <color theme="1"/>
        <rFont val="Calibri"/>
        <family val="2"/>
        <scheme val="minor"/>
      </rPr>
      <t>measurement range and additional parameters where applicable, e.g., frequency of applied voltage;</t>
    </r>
  </si>
  <si>
    <r>
      <t>d)</t>
    </r>
    <r>
      <rPr>
        <sz val="7"/>
        <color theme="1"/>
        <rFont val="Calibri"/>
        <family val="2"/>
        <scheme val="minor"/>
      </rPr>
      <t xml:space="preserve">    </t>
    </r>
    <r>
      <rPr>
        <sz val="11"/>
        <color theme="1"/>
        <rFont val="Calibri"/>
        <family val="2"/>
        <scheme val="minor"/>
      </rPr>
      <t>uncertainty of measurement.</t>
    </r>
  </si>
  <si>
    <r>
      <t>Commercial Calibration or Quality Compliance Test:</t>
    </r>
    <r>
      <rPr>
        <sz val="11"/>
        <color theme="1"/>
        <rFont val="Calibri"/>
        <family val="2"/>
        <scheme val="minor"/>
      </rPr>
      <t xml:space="preserve">  This is usually a 5-6-point calibration done by the manufacturer to verify the force measuring instrument is within the Manufacturer’s specification in regard to non-linearity, Static Error Band (SEB), and Hysteresis.  It does not give the expected performance of the force measuring instrument as it has not been subjected to testing repeatability and reproducibility during the calibration.  ASTM E74 and ISO 376 are standards that give better guidance on what should be tested to determine expected performance of the force measuring instrument.</t>
    </r>
  </si>
  <si>
    <r>
      <t>Environmental Factors:</t>
    </r>
    <r>
      <rPr>
        <sz val="11"/>
        <color theme="1"/>
        <rFont val="Calibri"/>
        <family val="2"/>
        <scheme val="minor"/>
      </rPr>
      <t xml:space="preserve">  Environmental conditions, such as temperature, influences the force transducer output. The most common specification is temperature effect found on the force measuring instruments specification sheet. It is important to note that any deviation in environmental conditions from the temperature the force measuring instrument was calibrated at needs to be accounted for in the measurement uncertainty in measurements using the force transducer by the user.</t>
    </r>
  </si>
  <si>
    <r>
      <t>Force Units:</t>
    </r>
    <r>
      <rPr>
        <sz val="11"/>
        <color theme="1"/>
        <rFont val="Calibri"/>
        <family val="2"/>
        <scheme val="minor"/>
      </rPr>
      <t xml:space="preserve"> A force unit can be any unit representing a force.  Common force units are N, kgf, lbf.  The SI unit for force is N (Newton).</t>
    </r>
  </si>
  <si>
    <r>
      <t>Hysteresis:</t>
    </r>
    <r>
      <rPr>
        <sz val="11"/>
        <color theme="1"/>
        <rFont val="Calibri"/>
        <family val="2"/>
        <scheme val="minor"/>
      </rPr>
      <t xml:space="preserve">  </t>
    </r>
    <r>
      <rPr>
        <sz val="11"/>
        <color rgb="FF000000"/>
        <rFont val="Calibri"/>
        <family val="2"/>
        <scheme val="minor"/>
      </rPr>
      <t xml:space="preserve">the phenomenon in which the value of a physical property lags behind changes in the effect causing it, as for instance when magnetic induction lags behind the magnetizing force.  </t>
    </r>
    <r>
      <rPr>
        <b/>
        <sz val="11"/>
        <color rgb="FF000000"/>
        <rFont val="Calibri"/>
        <family val="2"/>
        <scheme val="minor"/>
      </rPr>
      <t xml:space="preserve"> </t>
    </r>
    <r>
      <rPr>
        <sz val="11"/>
        <color rgb="FF000000"/>
        <rFont val="Calibri"/>
        <family val="2"/>
        <scheme val="minor"/>
      </rPr>
      <t>For Force measurements Hysteresis is often defined as the algebraic difference between output at a given load descending from the maximum load and output at the same load ascending from the minimum load.  Normally expressed in units of % Full Scale.  It is most commonly calculated between 40 - 60 % of full scale.</t>
    </r>
  </si>
  <si>
    <r>
      <t>lower limit factor (llf):</t>
    </r>
    <r>
      <rPr>
        <sz val="11"/>
        <color theme="1"/>
        <rFont val="Calibri"/>
        <family val="2"/>
        <scheme val="minor"/>
      </rPr>
      <t xml:space="preserve"> ASTM specific term where the</t>
    </r>
    <r>
      <rPr>
        <b/>
        <sz val="11"/>
        <color theme="1"/>
        <rFont val="Calibri"/>
        <family val="2"/>
        <scheme val="minor"/>
      </rPr>
      <t xml:space="preserve"> </t>
    </r>
    <r>
      <rPr>
        <sz val="11"/>
        <color theme="1"/>
        <rFont val="Calibri"/>
        <family val="2"/>
        <scheme val="minor"/>
      </rPr>
      <t xml:space="preserve">ASTM E74 standard uses a method of least squares to fit a polynomial function to the data points.   The standard deviation of all the deviations from the predicted values by the fit function versus the observed values is found by taking the square root of the sum of all the squared deviations divided by the number of samples minus the degree of polynomial fit used minus one.  This number is then multiplied by a coverage factor (k) of 2.4 and then multiplied by the average ratio of force to deflection from the calibration data.  The </t>
    </r>
    <r>
      <rPr>
        <b/>
        <sz val="11"/>
        <color theme="1"/>
        <rFont val="Calibri"/>
        <family val="2"/>
        <scheme val="minor"/>
      </rPr>
      <t>llf</t>
    </r>
    <r>
      <rPr>
        <sz val="11"/>
        <color theme="1"/>
        <rFont val="Calibri"/>
        <family val="2"/>
        <scheme val="minor"/>
      </rPr>
      <t xml:space="preserve"> is a statistical estimate of the error in forces computed from the calibration equation of a force–measuring instrument when the instrument is calibrated in accordance with this practice.</t>
    </r>
  </si>
  <si>
    <r>
      <t>ISO 376</t>
    </r>
    <r>
      <rPr>
        <sz val="11"/>
        <color theme="1"/>
        <rFont val="Calibri"/>
        <family val="2"/>
        <scheme val="minor"/>
      </rPr>
      <t xml:space="preserve"> - </t>
    </r>
    <r>
      <rPr>
        <b/>
        <sz val="11"/>
        <color theme="1"/>
        <rFont val="Calibri"/>
        <family val="2"/>
        <scheme val="minor"/>
      </rPr>
      <t>Calibration of force proving instruments used for the verification of uniaxial testing machines:</t>
    </r>
    <r>
      <rPr>
        <sz val="11"/>
        <color theme="1"/>
        <rFont val="Calibri"/>
        <family val="2"/>
        <scheme val="minor"/>
      </rPr>
      <t xml:space="preserve">  ISO 376 is an International Standard that specifies a method for the calibration of force-proving instruments used for the static verification of uniaxial testing machines (e.g. tension/compression testing machines) and describes a procedure for the classification of these instruments.</t>
    </r>
  </si>
  <si>
    <r>
      <t>Metrological traceability (JCGM 200:2012, 2.41):</t>
    </r>
    <r>
      <rPr>
        <sz val="11"/>
        <color theme="1"/>
        <rFont val="Calibri"/>
        <family val="2"/>
        <scheme val="minor"/>
      </rPr>
      <t xml:space="preserve"> property of a measurement result whereby the result can be related to a reference through a documented unbroken chain of calibrations, each contributing to the measurement uncertainty.</t>
    </r>
  </si>
  <si>
    <r>
      <t>Non-Linearity:</t>
    </r>
    <r>
      <rPr>
        <sz val="11"/>
        <color theme="1"/>
        <rFont val="Calibri"/>
        <family val="2"/>
        <scheme val="minor"/>
      </rPr>
      <t xml:space="preserve">  The quality of a function that expresses a relationship that is not one of direct proportion.  For Force measurements, Non-Linearity is defined as the algebraic difference between the output at a specific load and the corresponding point on the straight line drawn between the outputs at minimum load and maximum load. Normally expressed in units of % of Full Scale.  It is most commonly calculated between 40 - 60 % of full scale.</t>
    </r>
  </si>
  <si>
    <r>
      <t>Non-Repeatability (per force transducer specification and not JCGM 200:2012):</t>
    </r>
    <r>
      <rPr>
        <sz val="11"/>
        <color theme="1"/>
        <rFont val="Calibri"/>
        <family val="2"/>
        <scheme val="minor"/>
      </rPr>
      <t xml:space="preserve">  The maximum difference between output readings for repeated loadings under identical loading and environmental conditions. Normally expressed in units as a % of Rated Output (RO).</t>
    </r>
  </si>
  <si>
    <r>
      <t>Other Force Measurement Errors:</t>
    </r>
    <r>
      <rPr>
        <sz val="11"/>
        <color theme="1"/>
        <rFont val="Calibri"/>
        <family val="2"/>
        <scheme val="minor"/>
      </rPr>
      <t xml:space="preserve">  Most force measuring instruments are susceptible to misalignment error, errors from not exercising the force measuring instrument to full capacity, and errors from improper adapter use. In almost all cases, there will be additional errors if the end user fails to have the force measuring instrument calibrated with the same adapters being used in their application.  Other errors may include temperature change under no load conditions.  Errors from loading equipment not being level, square and rigid can have significant contributions. </t>
    </r>
  </si>
  <si>
    <r>
      <t>Primary Standard:</t>
    </r>
    <r>
      <rPr>
        <sz val="11"/>
        <color theme="1"/>
        <rFont val="Calibri"/>
        <family val="2"/>
        <scheme val="minor"/>
      </rPr>
      <t xml:space="preserve"> Per ASTM E74 a deadweight force applied directly without intervening mechanisms such as levers, hydraulic multipliers, or the like whose mass has been determined by comparison with reference standards traceable to the International System of Units (SI) of mass. </t>
    </r>
  </si>
  <si>
    <r>
      <t>Rated Output or RO:</t>
    </r>
    <r>
      <rPr>
        <sz val="11"/>
        <color theme="1"/>
        <rFont val="Calibri"/>
        <family val="2"/>
        <scheme val="minor"/>
      </rPr>
      <t xml:space="preserve"> The output corresponding to capacity, equal to the algebraic difference between the signal at “(minimal load + capacity)” and the signal at minimum load.</t>
    </r>
  </si>
  <si>
    <r>
      <t>Reference Standard(s) Calibration Uncertainty:</t>
    </r>
    <r>
      <rPr>
        <sz val="11"/>
        <color theme="1"/>
        <rFont val="Calibri"/>
        <family val="2"/>
        <scheme val="minor"/>
      </rPr>
      <t xml:space="preserve">  This is usually the measurement uncertainty in the calibration of reference standard(s) used to calibrate the force measuring instrument. It is the uncertainty contribution in the calibration of reference standard(s) used to calibrate the force measuring instrument.  </t>
    </r>
  </si>
  <si>
    <r>
      <t>Repeatability condition of measurement, repeatability condition (JCGM 200:2012, 2.20):</t>
    </r>
    <r>
      <rPr>
        <sz val="11"/>
        <color theme="1"/>
        <rFont val="Calibri"/>
        <family val="2"/>
        <scheme val="minor"/>
      </rPr>
      <t xml:space="preserve">  condition of measurement, out of a set of conditions that includes the same measurement procedure, same operators, same measuring system, same operating conditions and same location, and replicate measurements on the same or similar objects over a short period of time</t>
    </r>
  </si>
  <si>
    <r>
      <t xml:space="preserve">Measurement repeatability, Repeatability (JCGM 200:2012, VIM 2.21): </t>
    </r>
    <r>
      <rPr>
        <sz val="11"/>
        <color theme="1"/>
        <rFont val="Calibri"/>
        <family val="2"/>
        <scheme val="minor"/>
      </rPr>
      <t>measurement precision under a set of repeatability conditions of measurement.</t>
    </r>
  </si>
  <si>
    <r>
      <t xml:space="preserve">Resolution (JCGM 200:2012, VIM 4.14): </t>
    </r>
    <r>
      <rPr>
        <sz val="11"/>
        <color theme="1"/>
        <rFont val="Calibri"/>
        <family val="2"/>
        <scheme val="minor"/>
      </rPr>
      <t xml:space="preserve"> Smallest change in a quantity being measured that causes a perceptible change in the corresponding indication.</t>
    </r>
  </si>
  <si>
    <r>
      <t>Resolution of a Displaying Device (JCGM 200:2012, VIM 4.15):</t>
    </r>
    <r>
      <rPr>
        <sz val="11"/>
        <color theme="1"/>
        <rFont val="Calibri"/>
        <family val="2"/>
        <scheme val="minor"/>
      </rPr>
      <t xml:space="preserve">  smallest difference between displayed indications that can be meaningfully distinguished</t>
    </r>
  </si>
  <si>
    <r>
      <t xml:space="preserve">Secondary force standard (ASTM E74): </t>
    </r>
    <r>
      <rPr>
        <sz val="11"/>
        <color theme="1"/>
        <rFont val="Calibri"/>
        <family val="2"/>
        <scheme val="minor"/>
      </rPr>
      <t xml:space="preserve"> an instrument or mechanism, the calibration of which has been established by comparison with primary force standards.</t>
    </r>
  </si>
  <si>
    <r>
      <t>Static Error Band (SEB):</t>
    </r>
    <r>
      <rPr>
        <sz val="11"/>
        <color theme="1"/>
        <rFont val="Calibri"/>
        <family val="2"/>
        <scheme val="minor"/>
      </rPr>
      <t xml:space="preserve">  The band of maximum deviations of the ascending and descending calibration points from a best-fit line through zero output. it includes the effects of nonlinearity, hysteresis, and non-return to minimum load. normally expressed in units of % of FS.</t>
    </r>
  </si>
  <si>
    <t>Repeatability and Reproducibility Worksheet for Measurement Uncertainty Budget Worksheet</t>
  </si>
  <si>
    <r>
      <t xml:space="preserve">VIM definition of Reproducibility
</t>
    </r>
    <r>
      <rPr>
        <sz val="11"/>
        <color theme="1"/>
        <rFont val="Calibri"/>
        <family val="2"/>
        <scheme val="minor"/>
      </rPr>
      <t xml:space="preserve">2.24 (3.7, Note 2) reproducibility condition of measurement reproducibility condition of measurement, out of a set of conditions that includes different locations, operators, measuring systems, and replicate measurements on the same or similar objects 
NOTE 1 The different measuring systems may use different measurement procedures. 
NOTE 2 A specification should give the conditions changed and unchanged, to the extent practical.  </t>
    </r>
  </si>
  <si>
    <t>R &amp; R Between Techs Worksheet</t>
  </si>
  <si>
    <t>Use this Repeatability and Reproducibility Worksheet for R &amp; R between technicians, between machines, or between different instruments. It is setup to be used as R &amp; R between technicians, if using multiple technicians. This form will be populated with information found in the Data Entry Sheet.  
Per ISO 5725 the general term for variability between repeated measurements is precision. Two conditions of precision, termed repeatability and reproducibility conditions, have been found necessary and, for many practical cases, useful for describing the variability of a measurement method, under repeatability conditions 
By default repeatability between technicians is set to none.  It is recommended that this contributions be included, but most accreditation bodies do not require it.  There are several other methods for determining reproducility and this is just one method.  
The ASTM LLF is the really an uncertainty calculation that quantifies reproducibility of the equipment and the deviation from the interpolation equation per section 8.4 of ASTM E74.   ISO 376 has rotational tests to capture reproducibility.   Neither capture reproducibility of the process with different operators.  The ANOVA analysis seems to complete this and capture that source of uncertainty.   
This worksheet was created by Dilip Shah of E=Mc3 Solutions and edited by Henry Zumbrun of Morehouse Instrument Company.</t>
  </si>
  <si>
    <t>Repeatability and Reproducibility between technicians: This should be performed whenever there is a change in personnel or the first time a budget is established. Data can be entered for up to 6 technicians. The technicians should measure the same test point up to 20 times each and the reduced data should be entered under the Technician cells in light yellow. We recommend a minimum of 5 points per technician. When we run these tests we typically perform 10 points per technician.</t>
  </si>
  <si>
    <t>If the readings are in mV/V or not exact Engineering Units, select "Yes" to convert to the appropriate units. When R &amp; R studies are performed this must be changed to yes and the force point used for R &amp; R must be entered. This is not needed if the force applied is 10,000 lbf and the meter reads 10,000 lbf.  It needs to be used if the force applied is 10,000 lbf and the output is read in mV/V.</t>
  </si>
  <si>
    <t>CMC Summary</t>
  </si>
  <si>
    <t>I9-19</t>
  </si>
  <si>
    <t>Force Value</t>
  </si>
  <si>
    <t>When all data has been entered properly, the CMC summary tab will will graph and calculate the uncertainty per test point. This worksheet calculates the measurement uncertainty between test points. Visit www.mhforce.com for additional information on calculating Measurement Uncertainty for Force or Torque Measurements. Information on the training offered can be found at http://www.mhforce.com/Training/TrainingCourses</t>
  </si>
  <si>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</si>
  <si>
    <t>There are two sheets for additional calculations:</t>
  </si>
  <si>
    <t>En for PT: This workseet can be used for Intra Laboratory Comparisons. Establishing a PT plan is a requirement for accreditation.  Morehouse can calibrate reference standard force or torque cells, which can be used with the En For PT sheet to satisfy Proficiency Testing Requirements.</t>
  </si>
  <si>
    <t>Calc Resolution Ex: This worksheet shows how to calculate resolution of a force-measuring device.</t>
  </si>
  <si>
    <t>Interpolates in between points if needed</t>
  </si>
  <si>
    <t>9.4.2020</t>
  </si>
  <si>
    <t>Created instructions, definitions, and new sheet for Calc Resolution Ex. Added color for drop down boxes.</t>
  </si>
  <si>
    <t>* This is set for a Morehouse load cell based on the specification sheet</t>
  </si>
  <si>
    <t>For Student's t correction input "Y" -&gt;&gt;</t>
  </si>
  <si>
    <t>Normal (68.26%, k=1)</t>
  </si>
  <si>
    <t>Y</t>
  </si>
  <si>
    <t>N</t>
  </si>
  <si>
    <t>Specific Divisor</t>
  </si>
  <si>
    <t>U-Shaped (sqrt 2)</t>
  </si>
  <si>
    <t>Rectangular (sqrt 3)</t>
  </si>
  <si>
    <t>Triangular (sqrt 6)</t>
  </si>
  <si>
    <t>Resolution (sqrt 12)</t>
  </si>
  <si>
    <r>
      <t>df</t>
    </r>
    <r>
      <rPr>
        <b/>
        <i/>
        <vertAlign val="subscript"/>
        <sz val="12"/>
        <rFont val="Calibri"/>
        <family val="2"/>
        <scheme val="minor"/>
      </rPr>
      <t>Numerator</t>
    </r>
  </si>
  <si>
    <r>
      <t>df</t>
    </r>
    <r>
      <rPr>
        <b/>
        <i/>
        <vertAlign val="subscript"/>
        <sz val="12"/>
        <rFont val="Calibri"/>
        <family val="2"/>
        <scheme val="minor"/>
      </rPr>
      <t>Denominator</t>
    </r>
  </si>
  <si>
    <t>Coverage Factor (k), Confidence Interval =</t>
  </si>
  <si>
    <r>
      <t>Coverage Factor</t>
    </r>
    <r>
      <rPr>
        <b/>
        <i/>
        <sz val="11"/>
        <color theme="1"/>
        <rFont val="Calibri"/>
        <family val="2"/>
        <scheme val="minor"/>
      </rPr>
      <t xml:space="preserve"> (k)</t>
    </r>
    <r>
      <rPr>
        <b/>
        <sz val="11"/>
        <color theme="1"/>
        <rFont val="Calibri"/>
        <family val="2"/>
        <scheme val="minor"/>
      </rPr>
      <t>, Confidence Interval =</t>
    </r>
  </si>
  <si>
    <t>Exclude Y/N</t>
  </si>
  <si>
    <t>E5</t>
  </si>
  <si>
    <t>Y or N Converts to Students T</t>
  </si>
  <si>
    <t>F21</t>
  </si>
  <si>
    <t xml:space="preserve">Select the Confidence Internal </t>
  </si>
  <si>
    <t>There is a drop down where one can select the Confidence Interval needed.  If you wanted to set to k = 2, 95.45 % should be selected.</t>
  </si>
  <si>
    <t>If you want to report Uncertainties at k = 2, or other coverage factors to comply with Ilac P14 or have all points in the range agree to the appropriate coverage factor you with to report, set this value to Y.  It will give Type A's 1000 degrees of freedom, and to do this; requires the correction for the population standard deviation for infinite degrees of freedom for Type A data.</t>
  </si>
  <si>
    <t>D7 and D8</t>
  </si>
  <si>
    <t>Repeatability and Reproducibility Between Techs</t>
  </si>
  <si>
    <t>Here one can decide to include or exclude the uncertainty contribution for Repeatability or Repeatability and Reproducibility</t>
  </si>
  <si>
    <t>K8-19</t>
  </si>
  <si>
    <t>Exclude a Point</t>
  </si>
  <si>
    <t>Points can be excluded.  The slope will not work if this is done, though points can be removed for a better coefficient fit</t>
  </si>
  <si>
    <t>Added the ability to choose a coverage factor and then set normal data to have infinite degrees of freedom.  CMC exclude ability More Compliance to ILAC P-14</t>
  </si>
  <si>
    <t>Applied Maximum</t>
  </si>
  <si>
    <t>Standards Used (Ref and UUT)</t>
  </si>
  <si>
    <t>This is your ASTM A74 LLF, which is  found on your ASTM E74 calibration report. LLF is a statistical estimate of the error in forces computed from the calibration equation of a force–measuring instrument when the instrument is calibrated in accordance with the ASTM E74 standard. If you are not using ASTM E74, leave these cells blank.</t>
  </si>
  <si>
    <t>Non ASTM or ISO 376 (Tolerance, Non-Linearity, SEB)</t>
  </si>
  <si>
    <t>If you chose ISO 376 in A13, then fill in the uncertainty coefficients from your calibration report or calculated with methods provided in ISO 376. If no C2 provided, then leave as zero.</t>
  </si>
  <si>
    <t>Do a repeatability study using a test artifact. We strongly recommend using an Ultra Precision Load Cell that is very stable and repeatable as not doing so will have a negative impact on the CMC. We suggest purchasing an artifact that can also be used for SPC testing as this will strengthen the measurement assurance process. The repeatability study on this worksheet is set up for 3 or 4 test runs, each with up to 12 test points. We suggest exercising the artifact and performing 4 runs of tests and recording the artifacts output at each test point. The worksheet provides for up to 12 different test points. When testing repeatability, moving or rotating the artifact is not required. 
Using the pooled std deviation may not be in line with current ISO and ILAC standards. It is recommended to test each individual test point against the predicted response from the ASTM E74 curve fit to ensure compliance with ISO and ILAC standards. If the pooled standard deviation is larger than the difference between the predicted response for each test point, then this method should not be argued. Morehouse has conferred with several organizations, including NIST on this subject. Until a document is drafted for continuous force reading devices, it is our belief that each lab should do their own analysis and determine the appropriate method for their use. The example is how Morehouse derives our CMC's and this was deemed acceptable. ASTM E74 Appendix Section X1.4.1.2 includes the pooled standard deviation method in the Appendix for calculating  Ur (Uncertainty due to force-measuring instrument responses).</t>
  </si>
  <si>
    <t>Non ASTM or ISO 376 (Tolerance,Non-Linearity,SEB)</t>
  </si>
  <si>
    <t xml:space="preserve">Repeatability </t>
  </si>
  <si>
    <t>Force or Torque/Subrange</t>
  </si>
  <si>
    <t>Coefficients</t>
  </si>
  <si>
    <t>CMC</t>
  </si>
  <si>
    <t>1st Try</t>
  </si>
  <si>
    <t>Unc Order of Fit</t>
  </si>
  <si>
    <t>Fitted Curve</t>
  </si>
  <si>
    <t>Max Difference</t>
  </si>
  <si>
    <t>MAY NOT GIVE BEST FIT WITH ORDERS HIGHER THAN 1</t>
  </si>
  <si>
    <t>Constant Corrected</t>
  </si>
  <si>
    <t>Orig %</t>
  </si>
  <si>
    <t>Non Corrected Formula</t>
  </si>
  <si>
    <t xml:space="preserve">Corrected to Formula </t>
  </si>
  <si>
    <t>Adjusted Intercept</t>
  </si>
  <si>
    <t>Attempt 1</t>
  </si>
  <si>
    <t>Attempt 2</t>
  </si>
  <si>
    <t>Sheet 1</t>
  </si>
  <si>
    <t>Sheet 2</t>
  </si>
  <si>
    <t>Sheet 3</t>
  </si>
  <si>
    <t>Sheet 4</t>
  </si>
  <si>
    <t>Sheet 5</t>
  </si>
  <si>
    <t>Sheet 6</t>
  </si>
  <si>
    <t>Sheet 7</t>
  </si>
  <si>
    <t>Sheet 8</t>
  </si>
  <si>
    <t>Sheet 9</t>
  </si>
  <si>
    <t>Sheet 10</t>
  </si>
  <si>
    <t>Sheet 11</t>
  </si>
  <si>
    <t>Sheet 12</t>
  </si>
  <si>
    <t xml:space="preserve">Multiplier </t>
  </si>
  <si>
    <t xml:space="preserve">Reproducibility </t>
  </si>
  <si>
    <t>Applied Force</t>
  </si>
  <si>
    <t>Excel Tab</t>
  </si>
  <si>
    <t>Best Fit</t>
  </si>
  <si>
    <t>9.16.2022</t>
  </si>
  <si>
    <t>10.03.2021</t>
  </si>
  <si>
    <t>Automatically Calculated Best Fit Line - R &amp; R between technicians scales maximum value throughout the range on a per point basis, some additional cleanup</t>
  </si>
  <si>
    <t>I42</t>
  </si>
  <si>
    <t>Desired %</t>
  </si>
  <si>
    <t>First Force Point that Matches Desired %</t>
  </si>
  <si>
    <t>Max</t>
  </si>
  <si>
    <t>Enter Information into these color cells</t>
  </si>
  <si>
    <t xml:space="preserve">Initial Setup </t>
  </si>
  <si>
    <t>Initial Setup and after new calibration</t>
  </si>
  <si>
    <t>Uncertainty Worksheet and R &amp; R Between Techs Need to Filled Out for CMC Summary to be correct</t>
  </si>
  <si>
    <t>Leave Blank if Not Used (Select % or Eng. Units if a constant)</t>
  </si>
  <si>
    <t>Maximum Fit Error</t>
  </si>
  <si>
    <t>7.24.2024</t>
  </si>
  <si>
    <t>Maximum Applied Force</t>
  </si>
  <si>
    <t>Participant- Assigned Value / Std Dev (Ref Runs)  (look at 17043)</t>
  </si>
  <si>
    <t xml:space="preserve">Z-Score </t>
  </si>
  <si>
    <t>Z-Score Formula</t>
  </si>
  <si>
    <t>A2</t>
  </si>
  <si>
    <t>A1</t>
  </si>
  <si>
    <t>A0</t>
  </si>
  <si>
    <t>2nd Degree Lab</t>
  </si>
  <si>
    <t>2nd Degree Ref</t>
  </si>
  <si>
    <t xml:space="preserve">Coefficients for the Reference </t>
  </si>
  <si>
    <t>A3</t>
  </si>
  <si>
    <t>Z-Score</t>
  </si>
  <si>
    <t>Participant Lab</t>
  </si>
  <si>
    <t>Assigned Value</t>
  </si>
  <si>
    <t>ILC Results</t>
  </si>
  <si>
    <t>Coefficients for the Lab</t>
  </si>
  <si>
    <t>3rd Degree Lab</t>
  </si>
  <si>
    <t>3rd Degree Ref</t>
  </si>
  <si>
    <t>Res Average</t>
  </si>
  <si>
    <t>3rd</t>
  </si>
  <si>
    <r>
      <rPr>
        <i/>
        <sz val="11"/>
        <color theme="0"/>
        <rFont val="Calibri"/>
        <family val="2"/>
        <scheme val="minor"/>
      </rPr>
      <t>k</t>
    </r>
    <r>
      <rPr>
        <sz val="11"/>
        <color theme="0"/>
        <rFont val="Calibri"/>
        <family val="2"/>
        <scheme val="minor"/>
      </rPr>
      <t xml:space="preserve"> = 2</t>
    </r>
  </si>
  <si>
    <r>
      <rPr>
        <i/>
        <sz val="11"/>
        <color theme="0"/>
        <rFont val="Calibri"/>
        <family val="2"/>
        <scheme val="minor"/>
      </rPr>
      <t xml:space="preserve">k </t>
    </r>
    <r>
      <rPr>
        <sz val="11"/>
        <color theme="0"/>
        <rFont val="Calibri"/>
        <family val="2"/>
        <scheme val="minor"/>
      </rPr>
      <t>= 2</t>
    </r>
  </si>
  <si>
    <t>Res Fitted</t>
  </si>
  <si>
    <t xml:space="preserve">Res </t>
  </si>
  <si>
    <t xml:space="preserve">ASTM </t>
  </si>
  <si>
    <t>Ref Unc</t>
  </si>
  <si>
    <t>DATA</t>
  </si>
  <si>
    <t>Data</t>
  </si>
  <si>
    <t>VALUE RUN 3</t>
  </si>
  <si>
    <t>VALUE RUN 2</t>
  </si>
  <si>
    <t>VALUE RUN 1</t>
  </si>
  <si>
    <t>FITTED DATA</t>
  </si>
  <si>
    <t>VALUE AVG</t>
  </si>
  <si>
    <t>VALUE RUN  3</t>
  </si>
  <si>
    <t>STANDARD DEV</t>
  </si>
  <si>
    <t>VALUE RUN2</t>
  </si>
  <si>
    <t>For Graphing</t>
  </si>
  <si>
    <t xml:space="preserve">LAB FITTED </t>
  </si>
  <si>
    <t>LAB AVERAGE</t>
  </si>
  <si>
    <t xml:space="preserve">REF </t>
  </si>
  <si>
    <t>LAB NUMERICAL</t>
  </si>
  <si>
    <t xml:space="preserve">Participant LAB </t>
  </si>
  <si>
    <t>POPULATION</t>
  </si>
  <si>
    <t>REFERENCE</t>
  </si>
  <si>
    <t>2nd</t>
  </si>
  <si>
    <t>2nd or 3rd Degree</t>
  </si>
  <si>
    <t>Fitted</t>
  </si>
  <si>
    <t>Fitted or Average</t>
  </si>
  <si>
    <t>Enter Your Raw Data From Data Collection</t>
  </si>
  <si>
    <t>Enter Reduced Run Data From Certificate</t>
  </si>
  <si>
    <t>Data Comparison</t>
  </si>
  <si>
    <t>Resolution (From Cert)</t>
  </si>
  <si>
    <t>ASTM LLF (From Cert)</t>
  </si>
  <si>
    <r>
      <t>Ref Standard Unc</t>
    </r>
    <r>
      <rPr>
        <b/>
        <i/>
        <sz val="11"/>
        <color theme="1"/>
        <rFont val="Calibri"/>
        <family val="2"/>
        <scheme val="minor"/>
      </rPr>
      <t xml:space="preserve"> k</t>
    </r>
    <r>
      <rPr>
        <b/>
        <sz val="11"/>
        <color theme="1"/>
        <rFont val="Calibri"/>
        <family val="2"/>
        <scheme val="minor"/>
      </rPr>
      <t xml:space="preserve"> = 2</t>
    </r>
  </si>
  <si>
    <t>Uncertainty of Reference</t>
  </si>
  <si>
    <r>
      <t xml:space="preserve">Lab Exp Unc </t>
    </r>
    <r>
      <rPr>
        <b/>
        <i/>
        <sz val="11"/>
        <color theme="1"/>
        <rFont val="Calibri"/>
        <family val="2"/>
        <scheme val="minor"/>
      </rPr>
      <t xml:space="preserve">k </t>
    </r>
    <r>
      <rPr>
        <b/>
        <sz val="11"/>
        <color theme="1"/>
        <rFont val="Calibri"/>
        <family val="2"/>
        <scheme val="minor"/>
      </rPr>
      <t>= 2</t>
    </r>
  </si>
  <si>
    <t>Percentage</t>
  </si>
  <si>
    <t xml:space="preserve">Lab Exp Unc in a % or numerical form? </t>
  </si>
  <si>
    <t>Uncertainty of Participant</t>
  </si>
  <si>
    <t xml:space="preserve">Compression </t>
  </si>
  <si>
    <t>Type</t>
  </si>
  <si>
    <t>Postal Code</t>
  </si>
  <si>
    <t>P-5467</t>
  </si>
  <si>
    <t>Serial Number</t>
  </si>
  <si>
    <t>lbf</t>
  </si>
  <si>
    <t>Force Units</t>
  </si>
  <si>
    <t>York, PA</t>
  </si>
  <si>
    <t>County/State</t>
  </si>
  <si>
    <t>Precision</t>
  </si>
  <si>
    <t>Model</t>
  </si>
  <si>
    <t>25K</t>
  </si>
  <si>
    <t>PT Kit</t>
  </si>
  <si>
    <t>kgf</t>
  </si>
  <si>
    <t>1748 Sixth Ave</t>
  </si>
  <si>
    <t xml:space="preserve">Street Address </t>
  </si>
  <si>
    <t>Load Cell</t>
  </si>
  <si>
    <t>Standard Type</t>
  </si>
  <si>
    <t>Company Name</t>
  </si>
  <si>
    <t>Morehouse UCM</t>
  </si>
  <si>
    <t>Machine Used</t>
  </si>
  <si>
    <t>Enter Information and Data From Morehouse Certificate</t>
  </si>
  <si>
    <t xml:space="preserve">Company Name </t>
  </si>
  <si>
    <t>100K</t>
  </si>
  <si>
    <t xml:space="preserve">Information about the Participant for Results Certificate </t>
  </si>
  <si>
    <t xml:space="preserve">Company Information </t>
  </si>
  <si>
    <t>Data For Graphs in white</t>
  </si>
  <si>
    <t>Data Entry Page</t>
  </si>
  <si>
    <t>THE ILC  RESULTS ONLY RETAIN TO THE INSTRUMENT ON THIS CERTIFICATE ENTERED BY THE PARTICIPANT.
THIS CERTIFICATE SHALL NOT BE REPRODUCED, EXCEPT IN FULL, WITHOUT WRITTEN CONSENT FROM MOREHOUSE INSTRUMENT COMPANY, INC.</t>
  </si>
  <si>
    <t xml:space="preserve">Force &amp; Torque Calibration Laboratories
1742 Sixth Avenue, York, PA 17403
Phone: 717-843-0081   www.mhforce.com
</t>
  </si>
  <si>
    <t>This Certificate of ILC is issued for the participant to keep a record of the "self-certified" ILC and Results</t>
  </si>
  <si>
    <t>Z Score</t>
  </si>
  <si>
    <t>Pass / Fail</t>
  </si>
  <si>
    <t>Reported Uncertainty / Reference Uncertainty</t>
  </si>
  <si>
    <t>Reported Values / Reference Values</t>
  </si>
  <si>
    <t>Measurement Description</t>
  </si>
  <si>
    <t>Participant's En values, Pass/Fail indicators, and Z Score</t>
  </si>
  <si>
    <t>Reference values and uncertainties of the test equipment</t>
  </si>
  <si>
    <t>Your measurement data at each set point</t>
  </si>
  <si>
    <t>The performance indicators include:</t>
  </si>
  <si>
    <t>the Morehouse reference values only.</t>
  </si>
  <si>
    <t xml:space="preserve">The ILC results are shown below. In the table below, your reported values are compared against </t>
  </si>
  <si>
    <t>Participant Standards</t>
  </si>
  <si>
    <t>ILC Date</t>
  </si>
  <si>
    <t xml:space="preserve"> ILC RESULTS</t>
  </si>
  <si>
    <t>Revision Log V 1-3</t>
  </si>
  <si>
    <t xml:space="preserve">Added Ability to add to ISO 376 calculations based on maximum fit error and more ISO 376 </t>
  </si>
  <si>
    <t>7.23.2024</t>
  </si>
  <si>
    <t>Version 3</t>
  </si>
  <si>
    <t>Added ILC self certification sheet and certificate found after #12 and finally put a Version # in the heading</t>
  </si>
  <si>
    <t>ISO 376 % or % Per Point</t>
  </si>
  <si>
    <t>Added ISO 376 or % of MU per Point</t>
  </si>
  <si>
    <t>L14-L23</t>
  </si>
  <si>
    <t xml:space="preserve">If You Choose  ISO 376 % or % Per Point then fill in the % numbers in L14 through L23 </t>
  </si>
  <si>
    <t>Fill out L14-L25 with % values per point reported on the certificate</t>
  </si>
  <si>
    <t>Morehouse CMC</t>
  </si>
  <si>
    <t>For ISO 376 or % Per Point</t>
  </si>
  <si>
    <t>9.10.2025</t>
  </si>
  <si>
    <t>11.14.2025</t>
  </si>
  <si>
    <t>FORCE REP</t>
  </si>
  <si>
    <r>
      <t>STEYX (</t>
    </r>
    <r>
      <rPr>
        <b/>
        <i/>
        <sz val="11"/>
        <color theme="1"/>
        <rFont val="Calibri"/>
        <family val="2"/>
        <scheme val="minor"/>
      </rPr>
      <t>k</t>
    </r>
    <r>
      <rPr>
        <b/>
        <sz val="11"/>
        <color theme="1"/>
        <rFont val="Calibri"/>
        <family val="2"/>
        <scheme val="minor"/>
      </rPr>
      <t>=1)</t>
    </r>
  </si>
  <si>
    <t>Run 5</t>
  </si>
  <si>
    <t>Run5</t>
  </si>
  <si>
    <t>% Reading</t>
  </si>
  <si>
    <r>
      <t>Expanded Uncertainty (U)</t>
    </r>
    <r>
      <rPr>
        <b/>
        <i/>
        <sz val="11"/>
        <color theme="1"/>
        <rFont val="Calibri"/>
        <family val="2"/>
        <scheme val="minor"/>
      </rPr>
      <t xml:space="preserve"> </t>
    </r>
    <r>
      <rPr>
        <b/>
        <sz val="11"/>
        <color theme="1"/>
        <rFont val="Calibri"/>
        <family val="2"/>
        <scheme val="minor"/>
      </rPr>
      <t xml:space="preserve"> =</t>
    </r>
  </si>
  <si>
    <r>
      <t>Coverage Factor (</t>
    </r>
    <r>
      <rPr>
        <b/>
        <i/>
        <sz val="11"/>
        <color theme="1"/>
        <rFont val="Calibri"/>
        <family val="2"/>
        <scheme val="minor"/>
      </rPr>
      <t>k</t>
    </r>
    <r>
      <rPr>
        <b/>
        <sz val="11"/>
        <color theme="1"/>
        <rFont val="Calibri"/>
        <family val="2"/>
        <scheme val="minor"/>
      </rPr>
      <t>), Confidence Interval =</t>
    </r>
  </si>
  <si>
    <r>
      <t xml:space="preserve">Coverage Factor </t>
    </r>
    <r>
      <rPr>
        <b/>
        <i/>
        <sz val="11"/>
        <color theme="1"/>
        <rFont val="Calibri"/>
        <family val="2"/>
        <scheme val="minor"/>
      </rPr>
      <t>(k</t>
    </r>
    <r>
      <rPr>
        <b/>
        <sz val="11"/>
        <color theme="1"/>
        <rFont val="Calibri"/>
        <family val="2"/>
        <scheme val="minor"/>
      </rPr>
      <t>), Confidence Interval =</t>
    </r>
  </si>
  <si>
    <r>
      <t xml:space="preserve">Expanded (95% </t>
    </r>
    <r>
      <rPr>
        <i/>
        <sz val="10"/>
        <rFont val="Arial"/>
        <family val="2"/>
      </rPr>
      <t>k</t>
    </r>
    <r>
      <rPr>
        <sz val="10"/>
        <rFont val="Arial"/>
        <family val="2"/>
      </rPr>
      <t>=1.96)</t>
    </r>
  </si>
  <si>
    <r>
      <t xml:space="preserve">Expanded (95.45% </t>
    </r>
    <r>
      <rPr>
        <i/>
        <sz val="10"/>
        <rFont val="Arial"/>
        <family val="2"/>
      </rPr>
      <t>k</t>
    </r>
    <r>
      <rPr>
        <sz val="10"/>
        <rFont val="Arial"/>
        <family val="2"/>
      </rPr>
      <t>=2)</t>
    </r>
  </si>
  <si>
    <r>
      <t xml:space="preserve">Expanded (99% </t>
    </r>
    <r>
      <rPr>
        <i/>
        <sz val="10"/>
        <rFont val="Arial"/>
        <family val="2"/>
      </rPr>
      <t>k</t>
    </r>
    <r>
      <rPr>
        <sz val="10"/>
        <rFont val="Arial"/>
        <family val="2"/>
      </rPr>
      <t>=2.58)</t>
    </r>
  </si>
  <si>
    <r>
      <t xml:space="preserve">Expanded (99.73% </t>
    </r>
    <r>
      <rPr>
        <i/>
        <sz val="10"/>
        <rFont val="Arial"/>
        <family val="2"/>
      </rPr>
      <t>k</t>
    </r>
    <r>
      <rPr>
        <sz val="10"/>
        <rFont val="Arial"/>
        <family val="2"/>
      </rPr>
      <t>=3)</t>
    </r>
  </si>
  <si>
    <r>
      <t>Normal (68.26%,</t>
    </r>
    <r>
      <rPr>
        <i/>
        <sz val="10"/>
        <rFont val="Arial"/>
        <family val="2"/>
      </rPr>
      <t xml:space="preserve"> k</t>
    </r>
    <r>
      <rPr>
        <sz val="10"/>
        <rFont val="Arial"/>
        <family val="2"/>
      </rPr>
      <t>=1)</t>
    </r>
  </si>
  <si>
    <r>
      <t xml:space="preserve">Expanded (98.36% </t>
    </r>
    <r>
      <rPr>
        <i/>
        <sz val="10"/>
        <rFont val="Arial"/>
        <family val="2"/>
      </rPr>
      <t>k</t>
    </r>
    <r>
      <rPr>
        <sz val="10"/>
        <rFont val="Arial"/>
        <family val="2"/>
      </rPr>
      <t>=2.4)</t>
    </r>
  </si>
  <si>
    <t>Expanded U %</t>
  </si>
  <si>
    <t xml:space="preserve">Fixed an Interpolation Error when direct force values are not used for stability calculation &amp; added repeatability pt for up to 5  &amp; number of data points </t>
  </si>
  <si>
    <t>Total # of Data points on Calibration Certificate</t>
  </si>
  <si>
    <r>
      <t xml:space="preserve">Expanded (68.26 % </t>
    </r>
    <r>
      <rPr>
        <i/>
        <sz val="10"/>
        <color theme="0"/>
        <rFont val="Arial"/>
        <family val="2"/>
      </rPr>
      <t>k</t>
    </r>
    <r>
      <rPr>
        <sz val="10"/>
        <color theme="0"/>
        <rFont val="Arial"/>
        <family val="2"/>
      </rPr>
      <t>=1)</t>
    </r>
  </si>
  <si>
    <r>
      <t xml:space="preserve">Expanded (95 % </t>
    </r>
    <r>
      <rPr>
        <i/>
        <sz val="10"/>
        <color theme="0"/>
        <rFont val="Arial"/>
        <family val="2"/>
      </rPr>
      <t>k</t>
    </r>
    <r>
      <rPr>
        <sz val="10"/>
        <color theme="0"/>
        <rFont val="Arial"/>
        <family val="2"/>
      </rPr>
      <t>=1.96)</t>
    </r>
  </si>
  <si>
    <r>
      <t xml:space="preserve">Expanded (95.45 % </t>
    </r>
    <r>
      <rPr>
        <i/>
        <sz val="10"/>
        <color theme="0"/>
        <rFont val="Arial"/>
        <family val="2"/>
      </rPr>
      <t>k</t>
    </r>
    <r>
      <rPr>
        <sz val="10"/>
        <color theme="0"/>
        <rFont val="Arial"/>
        <family val="2"/>
      </rPr>
      <t>=2)</t>
    </r>
  </si>
  <si>
    <r>
      <t xml:space="preserve">Expanded (99 % </t>
    </r>
    <r>
      <rPr>
        <i/>
        <sz val="10"/>
        <color theme="0"/>
        <rFont val="Arial"/>
        <family val="2"/>
      </rPr>
      <t>k</t>
    </r>
    <r>
      <rPr>
        <sz val="10"/>
        <color theme="0"/>
        <rFont val="Arial"/>
        <family val="2"/>
      </rPr>
      <t>=2.58)</t>
    </r>
  </si>
  <si>
    <r>
      <t xml:space="preserve">Expanded (99.73 % </t>
    </r>
    <r>
      <rPr>
        <i/>
        <sz val="10"/>
        <color theme="0"/>
        <rFont val="Arial"/>
        <family val="2"/>
      </rPr>
      <t>k</t>
    </r>
    <r>
      <rPr>
        <sz val="10"/>
        <color theme="0"/>
        <rFont val="Arial"/>
        <family val="2"/>
      </rPr>
      <t>=3)</t>
    </r>
  </si>
  <si>
    <t>B26</t>
  </si>
  <si>
    <t>Number of Data Points</t>
  </si>
  <si>
    <t>This is the total number of non-zero data points on your calibration certificate in the raw data columns</t>
  </si>
  <si>
    <r>
      <t xml:space="preserve">Veff: is a formula used to estimate the total degrees of freedom for a combined uncertainty that draws from multiple contributors, each with their own degrees of freedom. </t>
    </r>
    <r>
      <rPr>
        <sz val="11"/>
        <color theme="1"/>
        <rFont val="Calibri"/>
        <family val="2"/>
        <scheme val="minor"/>
      </rPr>
      <t xml:space="preserve">Veff is truncated (floor) per conservative GUM practice to ensure the coverage factor k is never underestimated." No recalculation is required as the approach increases measurement uncertainty slightly and is protective. This ensures the coverage factor is never underestimated. </t>
    </r>
  </si>
  <si>
    <t xml:space="preserve">3.06.2026 </t>
  </si>
  <si>
    <t xml:space="preserve"> Standard(s) Used (Ref and UUT)</t>
  </si>
  <si>
    <t xml:space="preserve">Certificate Number(s) </t>
  </si>
  <si>
    <t xml:space="preserve">Reviewed By </t>
  </si>
  <si>
    <t>Note: The corrected formula above is used to make sure no numbers are underreported; this can result in overestimation of uncertainty in some cases. It is up to the end user to determine if they wish to use the formula or employ another method for estimating measurement uncertainty.</t>
  </si>
  <si>
    <t xml:space="preserve">Added Veff definition and note. Added Reference standard Certificate number for traceability. Also locked down Tabs with an empty password. </t>
  </si>
  <si>
    <r>
      <rPr>
        <b/>
        <sz val="11"/>
        <color theme="1"/>
        <rFont val="Calibri"/>
        <family val="2"/>
        <scheme val="minor"/>
      </rPr>
      <t xml:space="preserve">Validation: </t>
    </r>
    <r>
      <rPr>
        <sz val="11"/>
        <color theme="1"/>
        <rFont val="Calibri"/>
        <family val="2"/>
        <scheme val="minor"/>
      </rPr>
      <t xml:space="preserve">The formulas in this sheet have been checked and verified. However, the end-user must assume responsibility of rechecking these for their intended purposes.  </t>
    </r>
  </si>
  <si>
    <t>#</t>
  </si>
  <si>
    <t>Expected</t>
  </si>
  <si>
    <t>Computed</t>
  </si>
  <si>
    <t>Result</t>
  </si>
  <si>
    <t>PASS</t>
  </si>
  <si>
    <t>Morehouse V 3.31</t>
  </si>
  <si>
    <t>LIMIT*</t>
  </si>
  <si>
    <t>CMC K57, F30, F31</t>
  </si>
  <si>
    <t>LINEST two-pass</t>
  </si>
  <si>
    <t>Internal</t>
  </si>
  <si>
    <t>Polynomial fit CMC(F) = a1×F + a0</t>
  </si>
  <si>
    <t>PT K47:K57</t>
  </si>
  <si>
    <t>ILC evaluation</t>
  </si>
  <si>
    <t>ISO 13528</t>
  </si>
  <si>
    <t>Z-score = Diff / σ_population</t>
  </si>
  <si>
    <t>PT I47:I57</t>
  </si>
  <si>
    <t>En = Diff / √(U_lab² + U_ref²)</t>
  </si>
  <si>
    <t>CMC F9:F19, G9:G19</t>
  </si>
  <si>
    <t>Linear interpolation</t>
  </si>
  <si>
    <t>Piecewise slope = (U_i − U_{i-1}) / (F_i − F_{i-1})</t>
  </si>
  <si>
    <t>Q7:Q18</t>
  </si>
  <si>
    <t>2-cal comparison</t>
  </si>
  <si>
    <t>GUM Type B</t>
  </si>
  <si>
    <t>Stability = Force × Change_%</t>
  </si>
  <si>
    <t>T7:T18</t>
  </si>
  <si>
    <t>Spec sheet</t>
  </si>
  <si>
    <t>Environmental = Force × TempSpec × TempVar</t>
  </si>
  <si>
    <t>G66, Sheets 1–12 G22</t>
  </si>
  <si>
    <t>JCGM 100:2008</t>
  </si>
  <si>
    <t>GUM §6.2.1</t>
  </si>
  <si>
    <t>Expanded U = k × uc</t>
  </si>
  <si>
    <t>G65, Sheets 1–12 G21</t>
  </si>
  <si>
    <t>Student's t</t>
  </si>
  <si>
    <t>GUM G.6.4</t>
  </si>
  <si>
    <t>Coverage factor k = TINV(α, Veff)</t>
  </si>
  <si>
    <t>G64, Sheets 1–12 G20</t>
  </si>
  <si>
    <t>GUM G.4</t>
  </si>
  <si>
    <t>Welch-Satterthwaite Veff = FLOOR(uc⁴ / Σ(ui⁴/νi))</t>
  </si>
  <si>
    <t>G63, Sheets 1–12 G19</t>
  </si>
  <si>
    <t>GUM §5.1.2</t>
  </si>
  <si>
    <t>Combined uc = √(Σui²)</t>
  </si>
  <si>
    <t>G62</t>
  </si>
  <si>
    <t>JCGM 100:2008 4.3.7</t>
  </si>
  <si>
    <t>Expanded (k=2) std uncert: u = x / 2</t>
  </si>
  <si>
    <t>G57, G58, G61</t>
  </si>
  <si>
    <t>Rectangular std uncert: u = x / √3</t>
  </si>
  <si>
    <t>G56, G59</t>
  </si>
  <si>
    <t>Resolution std uncert: u = x / √12</t>
  </si>
  <si>
    <t>B55</t>
  </si>
  <si>
    <t>Coverage k=2.4</t>
  </si>
  <si>
    <t>ASTM E74 §8.4</t>
  </si>
  <si>
    <t>LLF de-expansion: u = LLF / 2.4</t>
  </si>
  <si>
    <t>R&amp;R H48, I48, I49</t>
  </si>
  <si>
    <t>Force/Output scaling</t>
  </si>
  <si>
    <t>R&amp;R engineering unit conversion</t>
  </si>
  <si>
    <t>R&amp;R F49</t>
  </si>
  <si>
    <t>ANOVA</t>
  </si>
  <si>
    <t>ISO 5725</t>
  </si>
  <si>
    <t>R&amp;R Reproducibility = StdDev of tech averages</t>
  </si>
  <si>
    <t>R&amp;R F48</t>
  </si>
  <si>
    <t>R&amp;R Repeatability = √(avg of per-tech variances)</t>
  </si>
  <si>
    <t>I81, J43, K43</t>
  </si>
  <si>
    <t>Appendix</t>
  </si>
  <si>
    <t>ASTM E74 X1.4.1.2</t>
  </si>
  <si>
    <t>Pooled std dev = √(Σs²/n)</t>
  </si>
  <si>
    <t>I69:I80</t>
  </si>
  <si>
    <t>JCGM 100:2008 4.2.3</t>
  </si>
  <si>
    <t>GUM Type A</t>
  </si>
  <si>
    <t>Sample std dev of converted data</t>
  </si>
  <si>
    <t>J31:J42</t>
  </si>
  <si>
    <t>JCGM 100:2008 4.2.2</t>
  </si>
  <si>
    <t>Population std dev of raw data (array formula)</t>
  </si>
  <si>
    <t>I31:I42</t>
  </si>
  <si>
    <t>Section 8</t>
  </si>
  <si>
    <t>ASTM E74</t>
  </si>
  <si>
    <t>Conversion factor = Force / Avg_Output</t>
  </si>
  <si>
    <t>H31:H42, H69:H80</t>
  </si>
  <si>
    <t>GUM 4.2</t>
  </si>
  <si>
    <t>Average of repeatability runs (1–4)</t>
  </si>
  <si>
    <t>Calc Res Ex: C6, C9, C19, C26, F32:F36, F38</t>
  </si>
  <si>
    <t>JCGM 200:2012</t>
  </si>
  <si>
    <t>VIM 4.14, 4.15</t>
  </si>
  <si>
    <t>Resolution = (Force / Output) × Readability × Count_By</t>
  </si>
  <si>
    <t>Status</t>
  </si>
  <si>
    <t>Cells Validated</t>
  </si>
  <si>
    <t>GUM/Standard Basis</t>
  </si>
  <si>
    <t>Reference</t>
  </si>
  <si>
    <t>Formula / Calculation</t>
  </si>
  <si>
    <t>Formulas Independently Verified by Python Cross-Validation</t>
  </si>
  <si>
    <t>Miscellaneous Error Scaling: B24 = 0.003% is scaled to maximum force (100,000 × 0.003/100 = 3.0 lbf) for the master budget. Per-point sheets scale proportionally to each test point force.</t>
  </si>
  <si>
    <t>•</t>
  </si>
  <si>
    <t>ASTM E74 LLF De-expansion: LLF is divided by 2.4 (its original coverage factor per ASTM E74 Section 8.4), not by 2.0. Confirmed: B55 = 2.029 / 2.4 = 0.8454 lbf.</t>
  </si>
  <si>
    <t>Per-Point df Exclusion: Sheets 2–12 do not assign degrees of freedom to the Ref Lab CMC row (F18 is blank), so this contributor is excluded from the Veff calculation while still contributing to the combined variance. Sheet 1 includes it with df=200. This is consistent with the workbook design.</t>
  </si>
  <si>
    <t>R&amp;R "None" Divisor Behavior: When R&amp;R distribution is set to "None" (divisor=0), the standard uncertainty calculation produces an error (" ") which is correctly excluded from the variance sum. This is by design — the R&amp;R contribution enters through Sheets 1–12 when scaled per-point, not through the master budget.</t>
  </si>
  <si>
    <t>Welch-Satterthwaite Truncation: Veff uses INT() (floor/truncation) at every level — master budget and all 12 per-point sheets. This is conservative GUM practice ensuring the coverage factor is never underestimated. Confirmed at all 13 budget locations.</t>
  </si>
  <si>
    <t>Key Validation Findings</t>
  </si>
  <si>
    <t>Manual verification required. Compare Excel E58 value directly. Conservative direction: lower A0 would understate, not overstate, CMC.</t>
  </si>
  <si>
    <t>Adjusted intercept depends on the slope from limitation #1. A0_adj = A0 - min(residuals), and residuals shift with slope.</t>
  </si>
  <si>
    <t>2.6761</t>
  </si>
  <si>
    <t>2.9344</t>
  </si>
  <si>
    <t>CMC Summary Adjusted A0
E58</t>
  </si>
  <si>
    <t>Manual verification required. Compare Excel F30 value directly. Does not affect per-point expanded uncertainties which are independently validated.</t>
  </si>
  <si>
    <t>Excel LINEST K57 fits the corrected D-column data (two-pass pipeline with residual adjustment). Python polyfit uses raw C-column data in single pass.</t>
  </si>
  <si>
    <t>3.2169e-05</t>
  </si>
  <si>
    <t>3.5490e-05</t>
  </si>
  <si>
    <t>CMC Summary Poly a1 (slope)
F30 / K57 array</t>
  </si>
  <si>
    <t>Disposition</t>
  </si>
  <si>
    <t>Cause</t>
  </si>
  <si>
    <t>Item</t>
  </si>
  <si>
    <t>Known Limitations (2 of 196 Checks)</t>
  </si>
  <si>
    <t>99.0%</t>
  </si>
  <si>
    <t>TOTAL</t>
  </si>
  <si>
    <t>En = (x_lab − x_ref) / √(U_lab² + U_ref²) validated. Z = difference / σ_population validated. Pass/Fail threshold |En| &lt; 1 confirmed.</t>
  </si>
  <si>
    <t>PT Data Entry &amp; ILC Results
(En number, Z-score formulas)</t>
  </si>
  <si>
    <t>Piecewise slope/intercept between all 11 adjacent segments: PASS. Polynomial fit (order 1): 2 KNOWN LIMITATIONS — Excel LINEST uses two-pass correction (raw fit → residual adjust → corrected coefficients) with intermediate array spill formulas not reproducible externally. Slope and adjusted intercept require manual verification against Excel output.</t>
  </si>
  <si>
    <t>PASS*</t>
  </si>
  <si>
    <t>CMC Summary
(Piecewise interpolation &amp; polynomial fit)</t>
  </si>
  <si>
    <t>All 12 per-point sheets validated: force-scaled environmental, stability, R&amp;R, and ref CMC contributions. Veff truncation confirmed at each point. Sheets 2–12 exclude Ref CMC from Veff (no df assigned). Expanded U ranges from 1.871 lbf (2,000 lbf) to 6.151 lbf (100,000 lbf).</t>
  </si>
  <si>
    <t>Per-Point Budgets (Sheets 1–12)
(Scaled uncertainty per test point)</t>
  </si>
  <si>
    <t>All 10 contributors validated: R&amp;R (None/excluded), Repeatability, LLF/2.4, Res UUT (√12), Environmental (√3), Stability (√3), Ref Res (√12), Non-ASTM (0), Misc (√3), Ref CMC (k=2). uc=2.958, Veff=639 (truncated), k=1.964, U=5.809 lbf.</t>
  </si>
  <si>
    <t>Master Uncertainty Budget
(10 contributors, uc, Veff, k, U)</t>
  </si>
  <si>
    <t>2-technician ANOVA validated: per-tech std dev, variance, repeatability (√avg variance), reproducibility (std dev of averages), engineering unit conversion, df calculations.</t>
  </si>
  <si>
    <t>R &amp; R Between Techs
(ANOVA repeatability &amp; reproducibility)</t>
  </si>
  <si>
    <t>12-point raw data conversion validated. Key finding: J-column uses population std dev (ddof=0); I-column uses sample std dev (ddof=1). Pooled std dev I81 = 0.8034 lbf confirmed.</t>
  </si>
  <si>
    <t>Uncertainty Worksheet — Data Conversion
(mV/V → engineering units, pooled std dev)</t>
  </si>
  <si>
    <t>3 examples validated: mV/V single point, lbf count-by-2, multi-point average. All within ±1e-8 relative tolerance.</t>
  </si>
  <si>
    <t>Calc Resolution Ex
(Resolution formula per VIM 4.14/4.15)</t>
  </si>
  <si>
    <t>Pass</t>
  </si>
  <si>
    <t>Checks</t>
  </si>
  <si>
    <t>Workbook Section Validated</t>
  </si>
  <si>
    <t>Section-by-Section Validation Summary</t>
  </si>
  <si>
    <t>VALIDATION RESULT: 194 of 196 CHECKS PASSED (99.0%) — 2 DOCUMENTED KNOWN LIMITATIONS</t>
  </si>
  <si>
    <t>Conformity assessment excluded from scope</t>
  </si>
  <si>
    <t>Exclusions:</t>
  </si>
  <si>
    <t>Blackthorn Method Validation Checklist (ISO/IEC 17025)</t>
  </si>
  <si>
    <t>Compliance Framework:</t>
  </si>
  <si>
    <t>Performed By:</t>
  </si>
  <si>
    <t>cross_validate_cmc.py v1.0 (Python 3.12, NumPy, SciPy)</t>
  </si>
  <si>
    <t>Validation Tool:</t>
  </si>
  <si>
    <t>March 13, 2026</t>
  </si>
  <si>
    <t>Validation Date:</t>
  </si>
  <si>
    <t>Validation of Modified/Internal Method (ASTM E74 based)</t>
  </si>
  <si>
    <t>Method Classification:</t>
  </si>
  <si>
    <t>CMC-CALCULATIONS-FOR-FORCE-MEASUREMENTS-V-3.31.xlsx</t>
  </si>
  <si>
    <t>Document Under Validation:</t>
  </si>
  <si>
    <t>Blackthorn Method Validation Checklist — Section 6: Calculation and Data Processing</t>
  </si>
  <si>
    <t>Method Validation Record — Spreadsheet &amp; Formula Verification</t>
  </si>
  <si>
    <t>Morehouse Instrument Company</t>
  </si>
  <si>
    <t xml:space="preserve">Claude AI </t>
  </si>
  <si>
    <t>Reviewed By / Date :</t>
  </si>
  <si>
    <t>Henry Zumbrun  3.13.26</t>
  </si>
  <si>
    <t>Morehouse Measurement Uncertainty Calibration and Measurement Capability Worksheet (V 3.31)</t>
  </si>
  <si>
    <t>Technician 1</t>
  </si>
  <si>
    <t>Technician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</si>
</sst>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0.000"/>
    <numFmt numFmtId="165" formatCode="##0.00E+0"/>
    <numFmt numFmtId="166" formatCode="##0.0000E+0"/>
    <numFmt numFmtId="167" formatCode="0.000000"/>
    <numFmt numFmtId="168" formatCode="0.0000%"/>
    <numFmt numFmtId="169" formatCode="0.00000%"/>
    <numFmt numFmtId="170" formatCode="0.0"/>
    <numFmt numFmtId="171" formatCode="0.00000"/>
    <numFmt numFmtId="172" formatCode="0.0000"/>
    <numFmt numFmtId="173" formatCode="0.000%"/>
    <numFmt numFmtId="174" formatCode="0.00000000"/>
    <numFmt numFmtId="175" formatCode="0.0000000"/>
    <numFmt numFmtId="176" formatCode="0.0%"/>
    <numFmt numFmtId="177" formatCode="0.0000E+00"/>
    <numFmt numFmtId="178" formatCode="0.000000%"/>
  </numFmts>
  <fonts count="10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vertAlign val="subscript"/>
      <sz val="11"/>
      <color theme="1"/>
      <name val="Calibri"/>
      <family val="2"/>
      <scheme val="minor"/>
    </font>
    <font>
      <b/>
      <sz val="9"/>
      <color theme="1"/>
      <name val="Calibri"/>
      <family val="2"/>
      <scheme val="minor"/>
    </font>
    <font>
      <b/>
      <sz val="14"/>
      <color theme="1"/>
      <name val="Calibri"/>
      <family val="2"/>
      <scheme val="minor"/>
    </font>
    <font>
      <b/>
      <sz val="10"/>
      <name val="Arial"/>
      <family val="2"/>
    </font>
    <font>
      <sz val="9"/>
      <color indexed="81"/>
      <name val="Tahoma"/>
      <family val="2"/>
    </font>
    <font>
      <b/>
      <sz val="9"/>
      <color indexed="81"/>
      <name val="Tahoma"/>
      <family val="2"/>
    </font>
    <font>
      <b/>
      <sz val="11"/>
      <color theme="0"/>
      <name val="Calibri"/>
      <family val="2"/>
      <scheme val="minor"/>
    </font>
    <font>
      <sz val="11"/>
      <color theme="0"/>
      <name val="Calibri"/>
      <family val="2"/>
      <scheme val="minor"/>
    </font>
    <font>
      <b/>
      <sz val="9"/>
      <name val="Arial"/>
      <family val="2"/>
    </font>
    <font>
      <b/>
      <sz val="9"/>
      <color indexed="12"/>
      <name val="Arial"/>
      <family val="2"/>
    </font>
    <font>
      <b/>
      <sz val="10"/>
      <color indexed="12"/>
      <name val="Arial"/>
      <family val="2"/>
    </font>
    <font>
      <b/>
      <sz val="8"/>
      <color indexed="81"/>
      <name val="Tahoma"/>
      <family val="2"/>
    </font>
    <font>
      <sz val="8"/>
      <color indexed="81"/>
      <name val="Tahoma"/>
      <family val="2"/>
    </font>
    <font>
      <sz val="8"/>
      <color indexed="10"/>
      <name val="Tahoma"/>
      <family val="2"/>
    </font>
    <font>
      <b/>
      <sz val="8"/>
      <color indexed="12"/>
      <name val="Tahoma"/>
      <family val="2"/>
    </font>
    <font>
      <b/>
      <sz val="8"/>
      <color indexed="10"/>
      <name val="Tahoma"/>
      <family val="2"/>
    </font>
    <font>
      <sz val="11"/>
      <color theme="6" tint="-0.499984740745262"/>
      <name val="Calibri"/>
      <family val="2"/>
      <scheme val="minor"/>
    </font>
    <font>
      <sz val="14"/>
      <color theme="1"/>
      <name val="Calibri"/>
      <family val="2"/>
      <scheme val="minor"/>
    </font>
    <font>
      <b/>
      <sz val="10"/>
      <color indexed="81"/>
      <name val="Tahoma"/>
      <family val="2"/>
    </font>
    <font>
      <b/>
      <sz val="18"/>
      <color theme="1"/>
      <name val="Calibri"/>
      <family val="2"/>
      <scheme val="minor"/>
    </font>
    <font>
      <b/>
      <sz val="12"/>
      <color theme="1"/>
      <name val="Calibri"/>
      <family val="2"/>
      <scheme val="minor"/>
    </font>
    <font>
      <sz val="12"/>
      <color theme="1"/>
      <name val="Calibri"/>
      <family val="2"/>
      <scheme val="minor"/>
    </font>
    <font>
      <b/>
      <sz val="12"/>
      <color rgb="FFC00000"/>
      <name val="Calibri"/>
      <family val="2"/>
      <scheme val="minor"/>
    </font>
    <font>
      <b/>
      <sz val="11"/>
      <color rgb="FFC00000"/>
      <name val="Calibri"/>
      <family val="2"/>
      <scheme val="minor"/>
    </font>
    <font>
      <b/>
      <sz val="26"/>
      <color theme="1"/>
      <name val="Calibri"/>
      <family val="2"/>
      <scheme val="minor"/>
    </font>
    <font>
      <sz val="26"/>
      <color theme="1"/>
      <name val="Calibri"/>
      <family val="2"/>
      <scheme val="minor"/>
    </font>
    <font>
      <sz val="10"/>
      <color theme="1"/>
      <name val="Calibri"/>
      <family val="2"/>
      <scheme val="minor"/>
    </font>
    <font>
      <b/>
      <sz val="10"/>
      <color theme="1"/>
      <name val="Calibri"/>
      <family val="2"/>
      <scheme val="minor"/>
    </font>
    <font>
      <sz val="16"/>
      <color theme="1"/>
      <name val="Calibri"/>
      <family val="2"/>
      <scheme val="minor"/>
    </font>
    <font>
      <sz val="48"/>
      <color theme="1"/>
      <name val="Calibri"/>
      <family val="2"/>
      <scheme val="minor"/>
    </font>
    <font>
      <sz val="8"/>
      <color theme="1"/>
      <name val="Calibri"/>
      <family val="2"/>
      <scheme val="minor"/>
    </font>
    <font>
      <b/>
      <sz val="8"/>
      <color theme="1"/>
      <name val="Calibri"/>
      <family val="2"/>
      <scheme val="minor"/>
    </font>
    <font>
      <b/>
      <sz val="8"/>
      <name val="Arial"/>
      <family val="2"/>
    </font>
    <font>
      <b/>
      <sz val="7"/>
      <color theme="1"/>
      <name val="Calibri"/>
      <family val="2"/>
      <scheme val="minor"/>
    </font>
    <font>
      <sz val="22"/>
      <color theme="1"/>
      <name val="Calibri"/>
      <family val="2"/>
      <scheme val="minor"/>
    </font>
    <font>
      <sz val="11"/>
      <color rgb="FF333333"/>
      <name val="Arial"/>
      <family val="2"/>
    </font>
    <font>
      <b/>
      <sz val="11"/>
      <color rgb="FF333333"/>
      <name val="Arial"/>
      <family val="2"/>
    </font>
    <font>
      <sz val="7"/>
      <color theme="1"/>
      <name val="Calibri"/>
      <family val="2"/>
      <scheme val="minor"/>
    </font>
    <font>
      <sz val="11"/>
      <color rgb="FF000000"/>
      <name val="Calibri"/>
      <family val="2"/>
      <scheme val="minor"/>
    </font>
    <font>
      <b/>
      <sz val="11"/>
      <color rgb="FF000000"/>
      <name val="Calibri"/>
      <family val="2"/>
      <scheme val="minor"/>
    </font>
    <font>
      <i/>
      <sz val="11"/>
      <color theme="1"/>
      <name val="Calibri"/>
      <family val="2"/>
      <scheme val="minor"/>
    </font>
    <font>
      <b/>
      <i/>
      <sz val="12"/>
      <name val="Calibri"/>
      <family val="2"/>
      <scheme val="minor"/>
    </font>
    <font>
      <b/>
      <i/>
      <vertAlign val="subscript"/>
      <sz val="12"/>
      <name val="Calibri"/>
      <family val="2"/>
      <scheme val="minor"/>
    </font>
    <font>
      <b/>
      <sz val="12"/>
      <name val="Calibri"/>
      <family val="2"/>
      <scheme val="minor"/>
    </font>
    <font>
      <b/>
      <i/>
      <sz val="11"/>
      <color theme="1"/>
      <name val="Calibri"/>
      <family val="2"/>
      <scheme val="minor"/>
    </font>
    <font>
      <b/>
      <sz val="12"/>
      <color rgb="FFFF0000"/>
      <name val="Calibri"/>
      <family val="2"/>
      <scheme val="minor"/>
    </font>
    <font>
      <sz val="8"/>
      <name val="Calibri"/>
      <family val="2"/>
      <scheme val="minor"/>
    </font>
    <font>
      <sz val="10"/>
      <color theme="0"/>
      <name val="Arial"/>
      <family val="2"/>
    </font>
    <font>
      <sz val="11"/>
      <color rgb="FFFF0000"/>
      <name val="Calibri"/>
      <family val="2"/>
      <scheme val="minor"/>
    </font>
    <font>
      <i/>
      <sz val="11"/>
      <color theme="0"/>
      <name val="Calibri"/>
      <family val="2"/>
      <scheme val="minor"/>
    </font>
    <font>
      <b/>
      <sz val="12"/>
      <color theme="5" tint="-0.249977111117893"/>
      <name val="Calibri"/>
      <family val="2"/>
      <scheme val="minor"/>
    </font>
    <font>
      <b/>
      <sz val="11"/>
      <name val="Calibri"/>
      <family val="2"/>
      <scheme val="minor"/>
    </font>
    <font>
      <sz val="6"/>
      <color theme="1"/>
      <name val="Calibri"/>
      <family val="2"/>
      <scheme val="minor"/>
    </font>
    <font>
      <b/>
      <i/>
      <sz val="20"/>
      <color theme="1"/>
      <name val="Calibri"/>
      <family val="2"/>
      <scheme val="minor"/>
    </font>
    <font>
      <b/>
      <i/>
      <sz val="12"/>
      <color theme="1"/>
      <name val="Calibri"/>
      <family val="2"/>
      <scheme val="minor"/>
    </font>
    <font>
      <i/>
      <sz val="10"/>
      <name val="Arial"/>
      <family val="2"/>
    </font>
    <font>
      <i/>
      <sz val="10"/>
      <color theme="0"/>
      <name val="Arial"/>
      <family val="2"/>
    </font>
    <font>
      <sz val="11"/>
      <color theme="1"/>
      <name val="Arial"/>
      <family val="2"/>
    </font>
    <font>
      <b/>
      <sz val="26"/>
      <color rgb="FF1F3864"/>
      <name val="Arial"/>
      <family val="2"/>
    </font>
    <font>
      <b/>
      <sz val="19"/>
      <color rgb="FF2E75B6"/>
      <name val="Arial"/>
      <family val="2"/>
    </font>
    <font>
      <b/>
      <sz val="12"/>
      <color rgb="FF404040"/>
      <name val="Arial"/>
      <family val="2"/>
    </font>
    <font>
      <b/>
      <sz val="14"/>
      <color rgb="FF1F3864"/>
      <name val="Arial"/>
      <family val="2"/>
    </font>
    <font>
      <sz val="11"/>
      <color rgb="FF505050"/>
      <name val="Arial"/>
      <family val="2"/>
    </font>
    <font>
      <i/>
      <sz val="11"/>
      <color rgb="FF505050"/>
      <name val="Arial"/>
      <family val="2"/>
    </font>
    <font>
      <sz val="10"/>
      <color rgb="FF000000"/>
      <name val="Arial"/>
      <family val="2"/>
    </font>
    <font>
      <b/>
      <sz val="10"/>
      <color rgb="FF1F3864"/>
      <name val="Arial"/>
      <family val="2"/>
    </font>
    <font>
      <b/>
      <sz val="9"/>
      <color rgb="FFFFFFFF"/>
      <name val="Arial"/>
      <family val="2"/>
    </font>
    <font>
      <b/>
      <sz val="9"/>
      <color rgb="FF000000"/>
      <name val="Arial"/>
      <family val="2"/>
    </font>
    <font>
      <b/>
      <sz val="9"/>
      <color rgb="FF1E7B34"/>
      <name val="Arial"/>
      <family val="2"/>
    </font>
    <font>
      <sz val="9"/>
      <color rgb="FF000000"/>
      <name val="Arial"/>
      <family val="2"/>
    </font>
    <font>
      <b/>
      <sz val="9"/>
      <color rgb="FFC00000"/>
      <name val="Arial"/>
      <family val="2"/>
    </font>
    <font>
      <b/>
      <sz val="11"/>
      <color rgb="FF2E75B6"/>
      <name val="Arial"/>
      <family val="2"/>
    </font>
    <font>
      <i/>
      <sz val="9"/>
      <color rgb="FF606060"/>
      <name val="Arial"/>
      <family val="2"/>
    </font>
    <font>
      <i/>
      <sz val="8.5"/>
      <color rgb="FF000000"/>
      <name val="Arial"/>
      <family val="2"/>
    </font>
    <font>
      <b/>
      <sz val="8.5"/>
      <color rgb="FF1E7B34"/>
      <name val="Arial"/>
      <family val="2"/>
    </font>
    <font>
      <b/>
      <sz val="8.5"/>
      <color rgb="FF7F6000"/>
      <name val="Arial"/>
      <family val="2"/>
    </font>
    <font>
      <b/>
      <sz val="8.5"/>
      <color rgb="FF000000"/>
      <name val="Arial"/>
      <family val="2"/>
    </font>
    <font>
      <b/>
      <sz val="9"/>
      <color rgb="FF7F6000"/>
      <name val="Arial"/>
      <family val="2"/>
    </font>
    <font>
      <b/>
      <sz val="11"/>
      <color rgb="FF1F3864"/>
      <name val="Arial"/>
      <family val="2"/>
    </font>
    <font>
      <sz val="10"/>
      <color rgb="FFFF0000"/>
      <name val="Calibri"/>
      <family val="2"/>
      <scheme val="minor"/>
    </font>
    <font>
      <sz val="10"/>
      <color rgb="FF00B050"/>
      <name val="Calibri"/>
      <family val="2"/>
      <scheme val="minor"/>
    </font>
    <font>
      <b/>
      <sz val="11"/>
      <color rgb="FF00B050"/>
      <name val="Calibri"/>
      <family val="2"/>
      <scheme val="minor"/>
    </font>
    <font>
      <i/>
      <sz val="9"/>
      <color rgb="FF666666"/>
      <name val="Arial"/>
    </font>
    <font>
      <b/>
      <sz val="10"/>
      <name val="Arial"/>
    </font>
    <font>
      <b/>
      <sz val="11"/>
      <color rgb="FF002855"/>
      <name val="Arial"/>
    </font>
    <font>
      <b/>
      <sz val="9"/>
      <color rgb="FFB71C1C"/>
      <name val="Arial"/>
    </font>
    <font>
      <sz val="9"/>
      <name val="Arial"/>
    </font>
    <font>
      <b/>
      <sz val="9"/>
      <color rgb="FF2E7D32"/>
      <name val="Arial"/>
    </font>
    <font>
      <b/>
      <sz val="11"/>
      <color rgb="FFFFFFFF"/>
      <name val="Arial"/>
    </font>
    <font>
      <sz val="10"/>
      <name val="Arial"/>
    </font>
    <font>
      <b/>
      <sz val="10"/>
      <color rgb="FF2E7D32"/>
      <name val="Arial"/>
    </font>
    <font>
      <b/>
      <sz val="10"/>
      <color rgb="FF002855"/>
      <name val="Arial"/>
    </font>
    <font>
      <b/>
      <sz val="12"/>
      <color rgb="FFFFFFFF"/>
      <name val="Arial"/>
    </font>
    <font>
      <i/>
      <sz val="10"/>
      <color rgb="FF666666"/>
      <name val="Arial"/>
    </font>
    <font>
      <b/>
      <sz val="12"/>
      <color rgb="FFC8A96E"/>
      <name val="Arial"/>
    </font>
    <font>
      <b/>
      <sz val="16"/>
      <color rgb="FF002855"/>
      <name val="Arial"/>
    </font>
  </fonts>
  <fills count="40">
    <fill>
      <patternFill patternType="none"/>
    </fill>
    <fill>
      <patternFill patternType="gray125"/>
    </fill>
    <fill>
      <patternFill patternType="solid">
        <fgColor theme="3"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4" tint="0.59999389629810485"/>
        <bgColor indexed="64"/>
      </patternFill>
    </fill>
    <fill>
      <patternFill patternType="solid">
        <fgColor rgb="FFFFFFCC"/>
        <bgColor indexed="64"/>
      </patternFill>
    </fill>
    <fill>
      <patternFill patternType="solid">
        <fgColor indexed="41"/>
        <bgColor indexed="64"/>
      </patternFill>
    </fill>
    <fill>
      <patternFill patternType="solid">
        <fgColor indexed="47"/>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99CCFF"/>
        <bgColor indexed="64"/>
      </patternFill>
    </fill>
    <fill>
      <patternFill patternType="solid">
        <fgColor theme="2"/>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3399"/>
        <bgColor indexed="64"/>
      </patternFill>
    </fill>
    <fill>
      <patternFill patternType="solid">
        <fgColor theme="0" tint="-0.14999847407452621"/>
        <bgColor indexed="64"/>
      </patternFill>
    </fill>
    <fill>
      <patternFill patternType="solid">
        <fgColor rgb="FFFFFF00"/>
        <bgColor indexed="64"/>
      </patternFill>
    </fill>
    <fill>
      <patternFill patternType="solid">
        <fgColor rgb="FF1F3864"/>
        <bgColor indexed="64"/>
      </patternFill>
    </fill>
    <fill>
      <patternFill patternType="solid">
        <fgColor rgb="FFFFFFFF"/>
        <bgColor indexed="64"/>
      </patternFill>
    </fill>
    <fill>
      <patternFill patternType="solid">
        <fgColor rgb="FFE2EFDA"/>
        <bgColor indexed="64"/>
      </patternFill>
    </fill>
    <fill>
      <patternFill patternType="solid">
        <fgColor rgb="FFF2F2F2"/>
        <bgColor indexed="64"/>
      </patternFill>
    </fill>
    <fill>
      <patternFill patternType="solid">
        <fgColor rgb="FFFCE4E4"/>
        <bgColor indexed="64"/>
      </patternFill>
    </fill>
    <fill>
      <patternFill patternType="solid">
        <fgColor rgb="FFFFF2CC"/>
        <bgColor indexed="64"/>
      </patternFill>
    </fill>
    <fill>
      <patternFill patternType="solid">
        <fgColor rgb="FFFFF8E7"/>
      </patternFill>
    </fill>
    <fill>
      <patternFill patternType="solid">
        <fgColor rgb="FFE2EFDA"/>
      </patternFill>
    </fill>
    <fill>
      <patternFill patternType="solid">
        <fgColor rgb="FF002855"/>
      </patternFill>
    </fill>
    <fill>
      <patternFill patternType="solid">
        <fgColor rgb="FFFCE4EC"/>
      </patternFill>
    </fill>
    <fill>
      <patternFill patternType="solid">
        <fgColor rgb="FFB71C1C"/>
      </patternFill>
    </fill>
    <fill>
      <patternFill patternType="solid">
        <fgColor rgb="FF2E7D32"/>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rgb="FFCCCCCC"/>
      </left>
      <right style="medium">
        <color rgb="FFCCCCCC"/>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bottom style="medium">
        <color rgb="FFCCCCCC"/>
      </bottom>
      <diagonal/>
    </border>
    <border>
      <left/>
      <right style="medium">
        <color rgb="FFCCCCCC"/>
      </right>
      <top/>
      <bottom style="medium">
        <color rgb="FFCCCCCC"/>
      </bottom>
      <diagonal/>
    </border>
    <border>
      <left/>
      <right/>
      <top style="medium">
        <color rgb="FFCCCCCC"/>
      </top>
      <bottom style="medium">
        <color rgb="FFCCCCCC"/>
      </bottom>
      <diagonal/>
    </border>
    <border>
      <left style="medium">
        <color rgb="FFCCCCCC"/>
      </left>
      <right/>
      <top style="medium">
        <color rgb="FFCCCCCC"/>
      </top>
      <bottom style="medium">
        <color rgb="FFCCCCCC"/>
      </bottom>
      <diagonal/>
    </border>
    <border>
      <left/>
      <right/>
      <top/>
      <bottom style="medium">
        <color rgb="FF002855"/>
      </bottom>
      <diagonal/>
    </border>
  </borders>
  <cellStyleXfs count="8">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0" fontId="3" fillId="0" borderId="0"/>
    <xf numFmtId="0" fontId="1" fillId="0" borderId="0"/>
    <xf numFmtId="9" fontId="1" fillId="0" borderId="0" applyFont="0" applyFill="0" applyBorder="0" applyAlignment="0" applyProtection="0"/>
  </cellStyleXfs>
  <cellXfs count="907">
    <xf numFmtId="0" fontId="0" fillId="0" borderId="0" xfId="0"/>
    <xf numFmtId="0" fontId="2" fillId="2" borderId="1" xfId="0" applyFont="1" applyFill="1" applyBorder="1" applyAlignment="1">
      <alignment horizontal="center" vertical="center" wrapText="1"/>
    </xf>
    <xf numFmtId="0" fontId="2" fillId="2" borderId="1" xfId="0" quotePrefix="1" applyFont="1" applyFill="1" applyBorder="1" applyAlignment="1">
      <alignment horizontal="center" vertical="center" wrapText="1"/>
    </xf>
    <xf numFmtId="0" fontId="0" fillId="3" borderId="1" xfId="0" applyFill="1" applyBorder="1" applyProtection="1">
      <protection locked="0"/>
    </xf>
    <xf numFmtId="0" fontId="0" fillId="4" borderId="1" xfId="0" applyFill="1" applyBorder="1"/>
    <xf numFmtId="48" fontId="0" fillId="4" borderId="1" xfId="0" applyNumberFormat="1" applyFill="1" applyBorder="1"/>
    <xf numFmtId="0" fontId="0" fillId="0" borderId="0" xfId="0" applyProtection="1">
      <protection locked="0"/>
    </xf>
    <xf numFmtId="0" fontId="3" fillId="0" borderId="0" xfId="0" applyFont="1"/>
    <xf numFmtId="164" fontId="0" fillId="4" borderId="1" xfId="0" applyNumberFormat="1" applyFill="1" applyBorder="1"/>
    <xf numFmtId="0" fontId="3" fillId="0" borderId="0" xfId="2"/>
    <xf numFmtId="164" fontId="3" fillId="0" borderId="0" xfId="2" applyNumberFormat="1"/>
    <xf numFmtId="0" fontId="2" fillId="4" borderId="1" xfId="0" applyFont="1" applyFill="1" applyBorder="1"/>
    <xf numFmtId="10" fontId="3" fillId="4" borderId="1" xfId="1" applyNumberFormat="1" applyFont="1" applyFill="1" applyBorder="1" applyProtection="1"/>
    <xf numFmtId="0" fontId="2" fillId="3" borderId="1" xfId="0" applyFont="1" applyFill="1" applyBorder="1" applyAlignment="1" applyProtection="1">
      <alignment wrapText="1"/>
      <protection locked="0"/>
    </xf>
    <xf numFmtId="0" fontId="2" fillId="6" borderId="1" xfId="0" applyFont="1" applyFill="1" applyBorder="1"/>
    <xf numFmtId="2" fontId="2" fillId="2" borderId="1" xfId="0" applyNumberFormat="1" applyFont="1" applyFill="1" applyBorder="1"/>
    <xf numFmtId="48" fontId="2" fillId="2" borderId="1" xfId="0" applyNumberFormat="1" applyFont="1" applyFill="1" applyBorder="1"/>
    <xf numFmtId="10" fontId="7" fillId="2" borderId="1" xfId="1" applyNumberFormat="1" applyFont="1" applyFill="1" applyBorder="1" applyProtection="1"/>
    <xf numFmtId="166" fontId="0" fillId="3" borderId="1" xfId="0" applyNumberFormat="1" applyFill="1" applyBorder="1" applyProtection="1">
      <protection locked="0"/>
    </xf>
    <xf numFmtId="165" fontId="0" fillId="4" borderId="1" xfId="0" applyNumberFormat="1" applyFill="1" applyBorder="1"/>
    <xf numFmtId="165" fontId="2" fillId="5" borderId="1" xfId="0" applyNumberFormat="1" applyFont="1" applyFill="1" applyBorder="1"/>
    <xf numFmtId="165" fontId="2" fillId="2" borderId="1" xfId="0" applyNumberFormat="1" applyFont="1" applyFill="1" applyBorder="1"/>
    <xf numFmtId="0" fontId="2" fillId="4" borderId="1" xfId="0" applyFont="1" applyFill="1" applyBorder="1" applyAlignment="1">
      <alignment horizontal="center"/>
    </xf>
    <xf numFmtId="0" fontId="2" fillId="3" borderId="1" xfId="0" applyFont="1" applyFill="1" applyBorder="1"/>
    <xf numFmtId="167" fontId="2" fillId="2" borderId="1" xfId="0" applyNumberFormat="1" applyFont="1" applyFill="1" applyBorder="1"/>
    <xf numFmtId="0" fontId="5" fillId="0" borderId="5" xfId="0" applyFont="1" applyBorder="1"/>
    <xf numFmtId="0" fontId="2" fillId="3" borderId="1" xfId="0" applyFont="1" applyFill="1" applyBorder="1" applyProtection="1">
      <protection locked="0"/>
    </xf>
    <xf numFmtId="10" fontId="0" fillId="0" borderId="0" xfId="1" applyNumberFormat="1" applyFont="1"/>
    <xf numFmtId="2" fontId="2" fillId="7" borderId="6" xfId="1" applyNumberFormat="1" applyFont="1" applyFill="1" applyBorder="1" applyProtection="1"/>
    <xf numFmtId="48" fontId="3" fillId="0" borderId="0" xfId="0" applyNumberFormat="1" applyFont="1"/>
    <xf numFmtId="169" fontId="2" fillId="7" borderId="6" xfId="1" applyNumberFormat="1" applyFont="1" applyFill="1" applyBorder="1" applyProtection="1"/>
    <xf numFmtId="1" fontId="0" fillId="3" borderId="1" xfId="0" applyNumberFormat="1" applyFill="1" applyBorder="1" applyProtection="1">
      <protection locked="0"/>
    </xf>
    <xf numFmtId="14" fontId="0" fillId="3" borderId="1" xfId="0" applyNumberFormat="1" applyFill="1" applyBorder="1" applyProtection="1">
      <protection locked="0"/>
    </xf>
    <xf numFmtId="2" fontId="0" fillId="3" borderId="1" xfId="0" applyNumberFormat="1" applyFill="1" applyBorder="1" applyProtection="1">
      <protection locked="0"/>
    </xf>
    <xf numFmtId="0" fontId="0" fillId="0" borderId="0" xfId="0" applyAlignment="1">
      <alignment horizontal="center"/>
    </xf>
    <xf numFmtId="0" fontId="0" fillId="3" borderId="1" xfId="0" applyFill="1" applyBorder="1" applyAlignment="1" applyProtection="1">
      <alignment horizontal="center"/>
      <protection locked="0"/>
    </xf>
    <xf numFmtId="172" fontId="2" fillId="3" borderId="1" xfId="0" applyNumberFormat="1" applyFont="1" applyFill="1" applyBorder="1"/>
    <xf numFmtId="0" fontId="2" fillId="0" borderId="0" xfId="0" applyFont="1"/>
    <xf numFmtId="0" fontId="0" fillId="2" borderId="0" xfId="0" applyFill="1" applyAlignment="1">
      <alignment horizontal="center"/>
    </xf>
    <xf numFmtId="0" fontId="0" fillId="9" borderId="1" xfId="0" applyFill="1" applyBorder="1"/>
    <xf numFmtId="168" fontId="0" fillId="3" borderId="1" xfId="0" applyNumberFormat="1" applyFill="1" applyBorder="1" applyAlignment="1">
      <alignment horizontal="center"/>
    </xf>
    <xf numFmtId="0" fontId="0" fillId="3" borderId="1" xfId="0" applyFill="1" applyBorder="1" applyAlignment="1">
      <alignment horizontal="center"/>
    </xf>
    <xf numFmtId="0" fontId="11" fillId="10" borderId="6" xfId="0" applyFont="1" applyFill="1" applyBorder="1" applyAlignment="1">
      <alignment horizontal="center"/>
    </xf>
    <xf numFmtId="0" fontId="11" fillId="10" borderId="1" xfId="0" applyFont="1" applyFill="1" applyBorder="1" applyAlignment="1">
      <alignment horizontal="center"/>
    </xf>
    <xf numFmtId="171" fontId="0" fillId="9" borderId="1" xfId="0" applyNumberFormat="1" applyFill="1" applyBorder="1" applyAlignment="1">
      <alignment horizontal="center"/>
    </xf>
    <xf numFmtId="171" fontId="0" fillId="0" borderId="0" xfId="0" applyNumberFormat="1" applyAlignment="1">
      <alignment horizontal="center"/>
    </xf>
    <xf numFmtId="0" fontId="0" fillId="0" borderId="0" xfId="0" applyAlignment="1">
      <alignment horizontal="right"/>
    </xf>
    <xf numFmtId="10" fontId="0" fillId="0" borderId="0" xfId="0" applyNumberFormat="1"/>
    <xf numFmtId="165" fontId="2" fillId="7" borderId="6" xfId="0" applyNumberFormat="1" applyFont="1" applyFill="1" applyBorder="1"/>
    <xf numFmtId="0" fontId="12" fillId="13" borderId="4" xfId="2" applyFont="1" applyFill="1" applyBorder="1" applyAlignment="1">
      <alignment horizontal="center"/>
    </xf>
    <xf numFmtId="0" fontId="12" fillId="13" borderId="1" xfId="2" applyFont="1" applyFill="1" applyBorder="1" applyAlignment="1">
      <alignment horizontal="center"/>
    </xf>
    <xf numFmtId="0" fontId="13" fillId="14" borderId="4" xfId="2" applyFont="1" applyFill="1" applyBorder="1" applyAlignment="1">
      <alignment horizontal="center"/>
    </xf>
    <xf numFmtId="172" fontId="13" fillId="14" borderId="1" xfId="2" applyNumberFormat="1" applyFont="1" applyFill="1" applyBorder="1" applyAlignment="1">
      <alignment horizontal="center"/>
    </xf>
    <xf numFmtId="172" fontId="13" fillId="14" borderId="4" xfId="2" applyNumberFormat="1" applyFont="1" applyFill="1" applyBorder="1" applyAlignment="1">
      <alignment horizontal="center"/>
    </xf>
    <xf numFmtId="0" fontId="12" fillId="13" borderId="1" xfId="2" applyFont="1" applyFill="1" applyBorder="1" applyAlignment="1">
      <alignment horizontal="center" vertical="center" wrapText="1"/>
    </xf>
    <xf numFmtId="164" fontId="13" fillId="14" borderId="1" xfId="2" applyNumberFormat="1" applyFont="1" applyFill="1" applyBorder="1" applyAlignment="1">
      <alignment horizontal="center"/>
    </xf>
    <xf numFmtId="0" fontId="2" fillId="12" borderId="1" xfId="0" applyFont="1" applyFill="1" applyBorder="1" applyAlignment="1" applyProtection="1">
      <alignment wrapText="1"/>
      <protection locked="0"/>
    </xf>
    <xf numFmtId="0" fontId="0" fillId="2" borderId="1" xfId="0" applyFill="1" applyBorder="1" applyAlignment="1">
      <alignment horizontal="center"/>
    </xf>
    <xf numFmtId="0" fontId="20" fillId="0" borderId="0" xfId="0" applyFont="1"/>
    <xf numFmtId="0" fontId="0" fillId="2" borderId="1" xfId="0" applyFill="1" applyBorder="1" applyAlignment="1">
      <alignment horizontal="right" vertical="center" wrapText="1"/>
    </xf>
    <xf numFmtId="0" fontId="0" fillId="0" borderId="2" xfId="0" applyBorder="1"/>
    <xf numFmtId="0" fontId="0" fillId="0" borderId="3" xfId="0" applyBorder="1"/>
    <xf numFmtId="0" fontId="2" fillId="2" borderId="6" xfId="0" applyFont="1" applyFill="1" applyBorder="1" applyAlignment="1">
      <alignment horizontal="center" vertical="center" wrapText="1"/>
    </xf>
    <xf numFmtId="0" fontId="0" fillId="3" borderId="6" xfId="0" applyFill="1" applyBorder="1" applyAlignment="1" applyProtection="1">
      <alignment horizontal="center"/>
      <protection locked="0"/>
    </xf>
    <xf numFmtId="164" fontId="0" fillId="4" borderId="6" xfId="0" applyNumberFormat="1" applyFill="1" applyBorder="1"/>
    <xf numFmtId="0" fontId="0" fillId="2" borderId="6" xfId="0" applyFill="1" applyBorder="1" applyAlignment="1">
      <alignment horizontal="right" vertical="center" wrapText="1"/>
    </xf>
    <xf numFmtId="165" fontId="0" fillId="4" borderId="6" xfId="0" applyNumberFormat="1" applyFill="1" applyBorder="1"/>
    <xf numFmtId="10" fontId="3" fillId="4" borderId="6" xfId="1" applyNumberFormat="1" applyFont="1" applyFill="1" applyBorder="1" applyProtection="1"/>
    <xf numFmtId="48" fontId="0" fillId="4" borderId="6" xfId="0" applyNumberFormat="1" applyFill="1" applyBorder="1"/>
    <xf numFmtId="0" fontId="2" fillId="3" borderId="10" xfId="0" applyFont="1" applyFill="1" applyBorder="1" applyAlignment="1" applyProtection="1">
      <alignment wrapText="1"/>
      <protection locked="0"/>
    </xf>
    <xf numFmtId="166" fontId="0" fillId="3" borderId="10" xfId="0" applyNumberFormat="1" applyFill="1" applyBorder="1" applyProtection="1">
      <protection locked="0"/>
    </xf>
    <xf numFmtId="0" fontId="0" fillId="3" borderId="10" xfId="0" applyFill="1" applyBorder="1" applyAlignment="1" applyProtection="1">
      <alignment horizontal="center"/>
      <protection locked="0"/>
    </xf>
    <xf numFmtId="164" fontId="0" fillId="4" borderId="10" xfId="0" applyNumberFormat="1" applyFill="1" applyBorder="1"/>
    <xf numFmtId="165" fontId="0" fillId="4" borderId="10" xfId="0" applyNumberFormat="1" applyFill="1" applyBorder="1"/>
    <xf numFmtId="10" fontId="3" fillId="4" borderId="10" xfId="1" applyNumberFormat="1" applyFont="1" applyFill="1" applyBorder="1" applyProtection="1"/>
    <xf numFmtId="48" fontId="0" fillId="4" borderId="10" xfId="0" applyNumberFormat="1" applyFill="1" applyBorder="1"/>
    <xf numFmtId="0" fontId="2" fillId="0" borderId="2" xfId="0" applyFont="1" applyBorder="1" applyAlignment="1" applyProtection="1">
      <alignment wrapText="1"/>
      <protection locked="0"/>
    </xf>
    <xf numFmtId="166" fontId="0" fillId="0" borderId="3" xfId="0" applyNumberFormat="1" applyBorder="1"/>
    <xf numFmtId="0" fontId="0" fillId="0" borderId="3" xfId="0" applyBorder="1" applyAlignment="1">
      <alignment horizontal="center"/>
    </xf>
    <xf numFmtId="0" fontId="0" fillId="0" borderId="3" xfId="0" applyBorder="1" applyAlignment="1" applyProtection="1">
      <alignment horizontal="center"/>
      <protection locked="0"/>
    </xf>
    <xf numFmtId="164" fontId="0" fillId="0" borderId="3" xfId="0" applyNumberFormat="1" applyBorder="1"/>
    <xf numFmtId="165" fontId="0" fillId="0" borderId="3" xfId="0" applyNumberFormat="1" applyBorder="1"/>
    <xf numFmtId="10" fontId="3" fillId="0" borderId="3" xfId="1" applyNumberFormat="1" applyFont="1" applyFill="1" applyBorder="1" applyProtection="1"/>
    <xf numFmtId="48" fontId="0" fillId="0" borderId="4" xfId="0" applyNumberFormat="1" applyBorder="1"/>
    <xf numFmtId="165" fontId="2" fillId="15" borderId="1" xfId="0" applyNumberFormat="1" applyFont="1" applyFill="1" applyBorder="1" applyAlignment="1">
      <alignment horizontal="right"/>
    </xf>
    <xf numFmtId="0" fontId="2" fillId="4" borderId="4" xfId="0" applyFont="1" applyFill="1" applyBorder="1" applyAlignment="1">
      <alignment horizontal="center"/>
    </xf>
    <xf numFmtId="0" fontId="2" fillId="9" borderId="1" xfId="0" applyFont="1" applyFill="1" applyBorder="1" applyProtection="1">
      <protection locked="0"/>
    </xf>
    <xf numFmtId="0" fontId="2" fillId="4" borderId="10" xfId="0" applyFont="1" applyFill="1" applyBorder="1" applyAlignment="1" applyProtection="1">
      <alignment horizontal="center"/>
      <protection locked="0"/>
    </xf>
    <xf numFmtId="0" fontId="2" fillId="3" borderId="4" xfId="0" applyFont="1" applyFill="1" applyBorder="1" applyProtection="1">
      <protection locked="0"/>
    </xf>
    <xf numFmtId="0" fontId="2" fillId="4" borderId="6" xfId="0" applyFont="1" applyFill="1" applyBorder="1" applyAlignment="1">
      <alignment horizontal="center"/>
    </xf>
    <xf numFmtId="0" fontId="2" fillId="3" borderId="1" xfId="0" applyFont="1" applyFill="1" applyBorder="1" applyAlignment="1">
      <alignment horizontal="center"/>
    </xf>
    <xf numFmtId="0" fontId="24" fillId="0" borderId="0" xfId="0" applyFont="1"/>
    <xf numFmtId="0" fontId="25" fillId="0" borderId="0" xfId="0" applyFont="1"/>
    <xf numFmtId="168" fontId="24" fillId="0" borderId="0" xfId="1" applyNumberFormat="1" applyFont="1" applyBorder="1"/>
    <xf numFmtId="0" fontId="25" fillId="3" borderId="4" xfId="0" applyFont="1" applyFill="1" applyBorder="1" applyAlignment="1">
      <alignment horizontal="center"/>
    </xf>
    <xf numFmtId="0" fontId="25" fillId="3" borderId="1" xfId="0" applyFont="1" applyFill="1" applyBorder="1" applyAlignment="1">
      <alignment horizontal="center"/>
    </xf>
    <xf numFmtId="174" fontId="25" fillId="3" borderId="1" xfId="0" applyNumberFormat="1" applyFont="1" applyFill="1" applyBorder="1"/>
    <xf numFmtId="0" fontId="25" fillId="3" borderId="1" xfId="0" applyFont="1" applyFill="1" applyBorder="1"/>
    <xf numFmtId="174" fontId="25" fillId="0" borderId="0" xfId="0" applyNumberFormat="1" applyFont="1"/>
    <xf numFmtId="168" fontId="25" fillId="0" borderId="0" xfId="0" applyNumberFormat="1" applyFont="1"/>
    <xf numFmtId="0" fontId="0" fillId="0" borderId="16" xfId="0" applyBorder="1"/>
    <xf numFmtId="0" fontId="0" fillId="0" borderId="17" xfId="0" applyBorder="1"/>
    <xf numFmtId="0" fontId="0" fillId="0" borderId="19" xfId="0" applyBorder="1"/>
    <xf numFmtId="0" fontId="24" fillId="3" borderId="20" xfId="0" applyFont="1" applyFill="1" applyBorder="1"/>
    <xf numFmtId="0" fontId="24" fillId="0" borderId="24" xfId="0" applyFont="1" applyBorder="1"/>
    <xf numFmtId="0" fontId="0" fillId="0" borderId="24" xfId="0" applyBorder="1"/>
    <xf numFmtId="174" fontId="25" fillId="0" borderId="19" xfId="0" applyNumberFormat="1" applyFont="1" applyBorder="1"/>
    <xf numFmtId="0" fontId="0" fillId="0" borderId="25" xfId="0" applyBorder="1"/>
    <xf numFmtId="0" fontId="0" fillId="0" borderId="26" xfId="0" applyBorder="1"/>
    <xf numFmtId="0" fontId="25" fillId="0" borderId="26" xfId="0" applyFont="1" applyBorder="1"/>
    <xf numFmtId="0" fontId="24" fillId="0" borderId="26" xfId="0" applyFont="1" applyBorder="1"/>
    <xf numFmtId="174" fontId="25" fillId="0" borderId="27" xfId="0" applyNumberFormat="1" applyFont="1" applyBorder="1"/>
    <xf numFmtId="0" fontId="2" fillId="2" borderId="20" xfId="0" applyFont="1" applyFill="1" applyBorder="1" applyAlignment="1">
      <alignment horizontal="center" vertical="center" wrapText="1"/>
    </xf>
    <xf numFmtId="0" fontId="3" fillId="0" borderId="24" xfId="0" applyFont="1" applyBorder="1"/>
    <xf numFmtId="0" fontId="0" fillId="4" borderId="20" xfId="0" applyFill="1" applyBorder="1"/>
    <xf numFmtId="0" fontId="2" fillId="4" borderId="20" xfId="0" applyFont="1" applyFill="1" applyBorder="1"/>
    <xf numFmtId="10" fontId="0" fillId="0" borderId="0" xfId="1" applyNumberFormat="1" applyFont="1" applyBorder="1"/>
    <xf numFmtId="0" fontId="2" fillId="4" borderId="18" xfId="0" applyFont="1" applyFill="1" applyBorder="1" applyAlignment="1">
      <alignment horizontal="center"/>
    </xf>
    <xf numFmtId="167" fontId="0" fillId="0" borderId="0" xfId="0" applyNumberFormat="1"/>
    <xf numFmtId="0" fontId="2" fillId="3" borderId="6" xfId="0" applyFont="1" applyFill="1" applyBorder="1" applyAlignment="1">
      <alignment horizontal="center"/>
    </xf>
    <xf numFmtId="168" fontId="0" fillId="3" borderId="30" xfId="0" applyNumberFormat="1" applyFill="1" applyBorder="1" applyAlignment="1">
      <alignment horizontal="center"/>
    </xf>
    <xf numFmtId="166" fontId="0" fillId="3" borderId="1" xfId="0" applyNumberFormat="1" applyFill="1" applyBorder="1" applyAlignment="1" applyProtection="1">
      <alignment horizontal="center"/>
      <protection locked="0"/>
    </xf>
    <xf numFmtId="0" fontId="2" fillId="3" borderId="21" xfId="0" applyFont="1" applyFill="1" applyBorder="1" applyAlignment="1">
      <alignment horizontal="center"/>
    </xf>
    <xf numFmtId="0" fontId="6" fillId="3" borderId="22" xfId="0" applyFont="1" applyFill="1" applyBorder="1" applyAlignment="1">
      <alignment horizontal="center"/>
    </xf>
    <xf numFmtId="0" fontId="24" fillId="3" borderId="18" xfId="0" applyFont="1" applyFill="1" applyBorder="1"/>
    <xf numFmtId="0" fontId="0" fillId="3" borderId="4" xfId="0" applyFill="1" applyBorder="1" applyAlignment="1">
      <alignment horizontal="center"/>
    </xf>
    <xf numFmtId="0" fontId="27" fillId="3" borderId="18" xfId="0" applyFont="1" applyFill="1" applyBorder="1"/>
    <xf numFmtId="0" fontId="2" fillId="19" borderId="6" xfId="0" applyFont="1" applyFill="1" applyBorder="1" applyAlignment="1">
      <alignment horizontal="center"/>
    </xf>
    <xf numFmtId="0" fontId="2" fillId="19" borderId="10" xfId="0" applyFont="1" applyFill="1" applyBorder="1" applyAlignment="1">
      <alignment horizontal="center"/>
    </xf>
    <xf numFmtId="0" fontId="2" fillId="19" borderId="9" xfId="0" applyFont="1" applyFill="1" applyBorder="1" applyAlignment="1">
      <alignment horizontal="center"/>
    </xf>
    <xf numFmtId="0" fontId="2" fillId="19" borderId="14" xfId="0" applyFont="1" applyFill="1" applyBorder="1" applyAlignment="1">
      <alignment horizontal="center"/>
    </xf>
    <xf numFmtId="0" fontId="2" fillId="19" borderId="1" xfId="0" applyFont="1" applyFill="1" applyBorder="1" applyAlignment="1">
      <alignment horizontal="center"/>
    </xf>
    <xf numFmtId="0" fontId="0" fillId="19" borderId="6" xfId="0" applyFill="1" applyBorder="1" applyAlignment="1">
      <alignment horizontal="center"/>
    </xf>
    <xf numFmtId="0" fontId="0" fillId="19" borderId="10" xfId="0" applyFill="1" applyBorder="1" applyAlignment="1">
      <alignment horizontal="center"/>
    </xf>
    <xf numFmtId="173" fontId="0" fillId="3" borderId="1" xfId="1" applyNumberFormat="1" applyFont="1" applyFill="1" applyBorder="1" applyAlignment="1">
      <alignment horizontal="center"/>
    </xf>
    <xf numFmtId="1" fontId="0" fillId="3" borderId="1" xfId="0" applyNumberFormat="1" applyFill="1" applyBorder="1" applyAlignment="1">
      <alignment horizontal="center"/>
    </xf>
    <xf numFmtId="0" fontId="31" fillId="19" borderId="9" xfId="0" applyFont="1" applyFill="1" applyBorder="1" applyAlignment="1">
      <alignment horizontal="center"/>
    </xf>
    <xf numFmtId="0" fontId="2" fillId="19" borderId="15" xfId="0" applyFont="1" applyFill="1" applyBorder="1" applyAlignment="1">
      <alignment horizontal="center"/>
    </xf>
    <xf numFmtId="0" fontId="0" fillId="0" borderId="30" xfId="0" applyBorder="1"/>
    <xf numFmtId="0" fontId="2" fillId="19" borderId="23" xfId="0" applyFont="1" applyFill="1" applyBorder="1" applyAlignment="1">
      <alignment horizontal="center"/>
    </xf>
    <xf numFmtId="0" fontId="0" fillId="3" borderId="23" xfId="0" applyFill="1" applyBorder="1" applyAlignment="1">
      <alignment horizontal="center"/>
    </xf>
    <xf numFmtId="0" fontId="26" fillId="3" borderId="23" xfId="0" applyFont="1" applyFill="1" applyBorder="1" applyAlignment="1">
      <alignment horizontal="center"/>
    </xf>
    <xf numFmtId="0" fontId="2" fillId="3" borderId="10" xfId="0" applyFont="1" applyFill="1" applyBorder="1"/>
    <xf numFmtId="2" fontId="0" fillId="0" borderId="0" xfId="0" applyNumberFormat="1"/>
    <xf numFmtId="0" fontId="29" fillId="0" borderId="12" xfId="0" applyFont="1" applyBorder="1" applyAlignment="1">
      <alignment vertical="center"/>
    </xf>
    <xf numFmtId="0" fontId="29" fillId="0" borderId="13" xfId="0" applyFont="1" applyBorder="1" applyAlignment="1">
      <alignment vertical="center"/>
    </xf>
    <xf numFmtId="0" fontId="0" fillId="19" borderId="1" xfId="0" applyFill="1" applyBorder="1" applyAlignment="1">
      <alignment horizontal="center"/>
    </xf>
    <xf numFmtId="0" fontId="30" fillId="0" borderId="0" xfId="0" applyFont="1"/>
    <xf numFmtId="0" fontId="28" fillId="19" borderId="7" xfId="0" applyFont="1" applyFill="1" applyBorder="1" applyAlignment="1">
      <alignment horizontal="center" vertical="center"/>
    </xf>
    <xf numFmtId="0" fontId="29" fillId="19" borderId="12" xfId="0" applyFont="1" applyFill="1" applyBorder="1" applyAlignment="1">
      <alignment vertical="center"/>
    </xf>
    <xf numFmtId="1" fontId="10" fillId="10" borderId="1" xfId="0" applyNumberFormat="1" applyFont="1" applyFill="1" applyBorder="1" applyAlignment="1">
      <alignment horizontal="center"/>
    </xf>
    <xf numFmtId="0" fontId="34" fillId="0" borderId="0" xfId="0" applyFont="1"/>
    <xf numFmtId="0" fontId="2" fillId="4" borderId="6" xfId="0" applyFont="1" applyFill="1" applyBorder="1"/>
    <xf numFmtId="0" fontId="0" fillId="4" borderId="6" xfId="0" applyFill="1" applyBorder="1"/>
    <xf numFmtId="0" fontId="25" fillId="0" borderId="15" xfId="0" applyFont="1" applyBorder="1"/>
    <xf numFmtId="0" fontId="0" fillId="4" borderId="2" xfId="0" applyFill="1" applyBorder="1"/>
    <xf numFmtId="0" fontId="2" fillId="4" borderId="4" xfId="0" applyFont="1" applyFill="1" applyBorder="1"/>
    <xf numFmtId="2" fontId="0" fillId="4" borderId="34" xfId="0" applyNumberFormat="1" applyFill="1" applyBorder="1"/>
    <xf numFmtId="0" fontId="0" fillId="4" borderId="31" xfId="0" applyFill="1" applyBorder="1"/>
    <xf numFmtId="0" fontId="0" fillId="4" borderId="32" xfId="0" applyFill="1" applyBorder="1"/>
    <xf numFmtId="0" fontId="0" fillId="4" borderId="33" xfId="0" applyFill="1" applyBorder="1"/>
    <xf numFmtId="0" fontId="2" fillId="3" borderId="1" xfId="0" applyFont="1" applyFill="1" applyBorder="1" applyAlignment="1">
      <alignment horizontal="right"/>
    </xf>
    <xf numFmtId="0" fontId="0" fillId="3" borderId="13" xfId="0" applyFill="1" applyBorder="1" applyAlignment="1">
      <alignment horizontal="center"/>
    </xf>
    <xf numFmtId="172" fontId="0" fillId="3" borderId="1" xfId="1" applyNumberFormat="1" applyFont="1" applyFill="1" applyBorder="1" applyAlignment="1">
      <alignment horizontal="center"/>
    </xf>
    <xf numFmtId="164" fontId="0" fillId="4" borderId="1" xfId="0" applyNumberFormat="1" applyFill="1" applyBorder="1" applyProtection="1">
      <protection locked="0"/>
    </xf>
    <xf numFmtId="2" fontId="2" fillId="3" borderId="1" xfId="0" applyNumberFormat="1" applyFont="1" applyFill="1" applyBorder="1"/>
    <xf numFmtId="0" fontId="2" fillId="3" borderId="1" xfId="0" applyFont="1" applyFill="1" applyBorder="1" applyAlignment="1" applyProtection="1">
      <alignment horizontal="center"/>
      <protection locked="0"/>
    </xf>
    <xf numFmtId="0" fontId="24" fillId="3" borderId="36" xfId="0" applyFont="1" applyFill="1" applyBorder="1"/>
    <xf numFmtId="0" fontId="24" fillId="3" borderId="37" xfId="0" applyFont="1" applyFill="1" applyBorder="1"/>
    <xf numFmtId="174" fontId="0" fillId="0" borderId="19" xfId="0" applyNumberFormat="1" applyBorder="1"/>
    <xf numFmtId="0" fontId="2" fillId="19" borderId="38" xfId="0" applyFont="1" applyFill="1" applyBorder="1" applyAlignment="1">
      <alignment horizontal="center"/>
    </xf>
    <xf numFmtId="0" fontId="2" fillId="19" borderId="22" xfId="0" applyFont="1" applyFill="1" applyBorder="1" applyAlignment="1">
      <alignment horizontal="center"/>
    </xf>
    <xf numFmtId="172" fontId="0" fillId="3" borderId="23" xfId="1" applyNumberFormat="1" applyFont="1" applyFill="1" applyBorder="1" applyAlignment="1">
      <alignment horizontal="center"/>
    </xf>
    <xf numFmtId="0" fontId="5" fillId="3" borderId="34" xfId="0" applyFont="1" applyFill="1" applyBorder="1" applyAlignment="1">
      <alignment horizontal="center"/>
    </xf>
    <xf numFmtId="0" fontId="2" fillId="3" borderId="34" xfId="0" applyFont="1" applyFill="1" applyBorder="1" applyAlignment="1">
      <alignment horizontal="center"/>
    </xf>
    <xf numFmtId="2" fontId="25" fillId="3" borderId="9" xfId="0" applyNumberFormat="1" applyFont="1" applyFill="1" applyBorder="1" applyAlignment="1">
      <alignment horizontal="center"/>
    </xf>
    <xf numFmtId="2" fontId="25" fillId="3" borderId="10" xfId="0" applyNumberFormat="1" applyFont="1" applyFill="1" applyBorder="1" applyAlignment="1">
      <alignment horizontal="center"/>
    </xf>
    <xf numFmtId="0" fontId="36" fillId="0" borderId="24" xfId="0" applyFont="1" applyBorder="1"/>
    <xf numFmtId="164" fontId="0" fillId="4" borderId="4" xfId="0" applyNumberFormat="1" applyFill="1" applyBorder="1"/>
    <xf numFmtId="2" fontId="0" fillId="3" borderId="4" xfId="0" applyNumberFormat="1" applyFill="1" applyBorder="1" applyAlignment="1">
      <alignment horizontal="center"/>
    </xf>
    <xf numFmtId="0" fontId="0" fillId="12" borderId="2" xfId="0" applyFill="1" applyBorder="1" applyAlignment="1">
      <alignment horizontal="center"/>
    </xf>
    <xf numFmtId="171" fontId="0" fillId="20" borderId="1" xfId="0" applyNumberFormat="1" applyFill="1" applyBorder="1" applyProtection="1">
      <protection locked="0"/>
    </xf>
    <xf numFmtId="0" fontId="0" fillId="20" borderId="1" xfId="0" applyFill="1" applyBorder="1" applyProtection="1">
      <protection locked="0"/>
    </xf>
    <xf numFmtId="0" fontId="2" fillId="4" borderId="2" xfId="0" applyFont="1" applyFill="1" applyBorder="1"/>
    <xf numFmtId="0" fontId="0" fillId="4" borderId="10" xfId="0" applyFill="1" applyBorder="1"/>
    <xf numFmtId="171" fontId="0" fillId="20" borderId="29" xfId="0" applyNumberFormat="1" applyFill="1" applyBorder="1" applyProtection="1">
      <protection locked="0"/>
    </xf>
    <xf numFmtId="0" fontId="0" fillId="20" borderId="29" xfId="0" applyFill="1" applyBorder="1" applyProtection="1">
      <protection locked="0"/>
    </xf>
    <xf numFmtId="0" fontId="0" fillId="20" borderId="43" xfId="0" applyFill="1" applyBorder="1" applyProtection="1">
      <protection locked="0"/>
    </xf>
    <xf numFmtId="0" fontId="0" fillId="20" borderId="23" xfId="0" applyFill="1" applyBorder="1" applyProtection="1">
      <protection locked="0"/>
    </xf>
    <xf numFmtId="0" fontId="0" fillId="20" borderId="20" xfId="0" applyFill="1" applyBorder="1" applyProtection="1">
      <protection locked="0"/>
    </xf>
    <xf numFmtId="0" fontId="0" fillId="20" borderId="44" xfId="0" applyFill="1" applyBorder="1" applyProtection="1">
      <protection locked="0"/>
    </xf>
    <xf numFmtId="0" fontId="0" fillId="20" borderId="45" xfId="0" applyFill="1" applyBorder="1" applyProtection="1">
      <protection locked="0"/>
    </xf>
    <xf numFmtId="0" fontId="0" fillId="20" borderId="46" xfId="0" applyFill="1" applyBorder="1" applyProtection="1">
      <protection locked="0"/>
    </xf>
    <xf numFmtId="172" fontId="0" fillId="0" borderId="0" xfId="0" applyNumberFormat="1"/>
    <xf numFmtId="2" fontId="0" fillId="3" borderId="20" xfId="0" applyNumberFormat="1" applyFill="1" applyBorder="1" applyAlignment="1">
      <alignment horizontal="center"/>
    </xf>
    <xf numFmtId="0" fontId="24" fillId="21" borderId="20" xfId="0" applyFont="1" applyFill="1" applyBorder="1"/>
    <xf numFmtId="0" fontId="0" fillId="21" borderId="40" xfId="0" applyFill="1" applyBorder="1" applyAlignment="1" applyProtection="1">
      <alignment horizontal="center"/>
      <protection locked="0"/>
    </xf>
    <xf numFmtId="168" fontId="25" fillId="3" borderId="1" xfId="0" applyNumberFormat="1" applyFont="1" applyFill="1" applyBorder="1" applyAlignment="1">
      <alignment horizontal="center"/>
    </xf>
    <xf numFmtId="0" fontId="24" fillId="3" borderId="38" xfId="0" applyFont="1" applyFill="1" applyBorder="1"/>
    <xf numFmtId="0" fontId="0" fillId="0" borderId="1" xfId="0" applyBorder="1"/>
    <xf numFmtId="0" fontId="2" fillId="0" borderId="1" xfId="0" applyFont="1" applyBorder="1"/>
    <xf numFmtId="0" fontId="0" fillId="0" borderId="1" xfId="0" applyBorder="1" applyAlignment="1">
      <alignment wrapText="1"/>
    </xf>
    <xf numFmtId="0" fontId="25" fillId="0" borderId="0" xfId="1" applyNumberFormat="1" applyFont="1" applyFill="1" applyBorder="1"/>
    <xf numFmtId="0" fontId="0" fillId="0" borderId="0" xfId="0" applyAlignment="1">
      <alignment vertical="center" wrapText="1"/>
    </xf>
    <xf numFmtId="0" fontId="29" fillId="0" borderId="0" xfId="0" applyFont="1" applyAlignment="1">
      <alignment wrapText="1"/>
    </xf>
    <xf numFmtId="0" fontId="29" fillId="0" borderId="15" xfId="0" applyFont="1" applyBorder="1" applyAlignment="1">
      <alignment wrapText="1"/>
    </xf>
    <xf numFmtId="0" fontId="0" fillId="3" borderId="1" xfId="0" applyFill="1" applyBorder="1"/>
    <xf numFmtId="0" fontId="38" fillId="0" borderId="0" xfId="0" applyFont="1" applyAlignment="1">
      <alignment wrapText="1"/>
    </xf>
    <xf numFmtId="0" fontId="2" fillId="0" borderId="0" xfId="0" applyFont="1" applyAlignment="1">
      <alignment horizontal="left"/>
    </xf>
    <xf numFmtId="0" fontId="39" fillId="0" borderId="0" xfId="0" applyFont="1" applyAlignment="1">
      <alignment vertical="center"/>
    </xf>
    <xf numFmtId="0" fontId="39" fillId="0" borderId="0" xfId="0" applyFont="1"/>
    <xf numFmtId="0" fontId="39" fillId="0" borderId="0" xfId="0" applyFont="1" applyAlignment="1">
      <alignment horizontal="center" vertical="center"/>
    </xf>
    <xf numFmtId="0" fontId="39" fillId="0" borderId="0" xfId="0" applyFont="1" applyAlignment="1">
      <alignment vertical="center" wrapText="1"/>
    </xf>
    <xf numFmtId="3" fontId="39" fillId="9" borderId="1" xfId="0" applyNumberFormat="1" applyFont="1" applyFill="1" applyBorder="1" applyAlignment="1">
      <alignment horizontal="center" vertical="center"/>
    </xf>
    <xf numFmtId="0" fontId="39" fillId="9" borderId="1" xfId="0" applyFont="1" applyFill="1" applyBorder="1" applyAlignment="1">
      <alignment horizontal="center" vertical="center"/>
    </xf>
    <xf numFmtId="0" fontId="39" fillId="9" borderId="2" xfId="0" applyFont="1" applyFill="1" applyBorder="1" applyAlignment="1">
      <alignment horizontal="center" vertical="center"/>
    </xf>
    <xf numFmtId="0" fontId="40" fillId="3" borderId="1" xfId="0" applyFont="1" applyFill="1" applyBorder="1" applyAlignment="1">
      <alignment horizontal="center" vertical="center"/>
    </xf>
    <xf numFmtId="167" fontId="40" fillId="3" borderId="1" xfId="0" applyNumberFormat="1" applyFont="1" applyFill="1" applyBorder="1" applyAlignment="1">
      <alignment horizontal="center"/>
    </xf>
    <xf numFmtId="172" fontId="40" fillId="3" borderId="1" xfId="0" applyNumberFormat="1" applyFont="1" applyFill="1" applyBorder="1" applyAlignment="1">
      <alignment horizontal="center"/>
    </xf>
    <xf numFmtId="175" fontId="40" fillId="3" borderId="1" xfId="0" applyNumberFormat="1" applyFont="1" applyFill="1" applyBorder="1" applyAlignment="1">
      <alignment horizontal="center" vertical="center"/>
    </xf>
    <xf numFmtId="175" fontId="39" fillId="3" borderId="1" xfId="0" applyNumberFormat="1" applyFont="1" applyFill="1" applyBorder="1"/>
    <xf numFmtId="2" fontId="0" fillId="12" borderId="34" xfId="0" applyNumberFormat="1" applyFill="1" applyBorder="1" applyAlignment="1">
      <alignment horizontal="right"/>
    </xf>
    <xf numFmtId="0" fontId="2" fillId="0" borderId="0" xfId="0" applyFont="1" applyAlignment="1">
      <alignment horizontal="justify" vertical="center"/>
    </xf>
    <xf numFmtId="0" fontId="2" fillId="0" borderId="0" xfId="0" applyFont="1" applyAlignment="1">
      <alignment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horizontal="justify" vertical="center" wrapText="1"/>
    </xf>
    <xf numFmtId="0" fontId="0" fillId="0" borderId="0" xfId="0" applyAlignment="1">
      <alignment horizontal="justify" vertical="center" wrapText="1"/>
    </xf>
    <xf numFmtId="0" fontId="44" fillId="0" borderId="0" xfId="0" applyFont="1" applyAlignment="1">
      <alignment horizontal="justify" vertical="center" wrapText="1"/>
    </xf>
    <xf numFmtId="0" fontId="0" fillId="0" borderId="1" xfId="0" applyBorder="1" applyAlignment="1">
      <alignment vertical="center" wrapText="1"/>
    </xf>
    <xf numFmtId="0" fontId="0" fillId="0" borderId="0" xfId="0" applyAlignment="1">
      <alignment horizontal="left"/>
    </xf>
    <xf numFmtId="176" fontId="0" fillId="0" borderId="0" xfId="1" applyNumberFormat="1" applyFont="1"/>
    <xf numFmtId="0" fontId="0" fillId="15" borderId="0" xfId="0" applyFill="1"/>
    <xf numFmtId="173" fontId="0" fillId="15" borderId="0" xfId="1" applyNumberFormat="1" applyFont="1" applyFill="1"/>
    <xf numFmtId="0" fontId="0" fillId="3" borderId="1" xfId="0" applyFill="1" applyBorder="1" applyAlignment="1" applyProtection="1">
      <alignment wrapText="1"/>
      <protection locked="0"/>
    </xf>
    <xf numFmtId="0" fontId="3" fillId="0" borderId="0" xfId="5" applyProtection="1">
      <protection locked="0"/>
    </xf>
    <xf numFmtId="0" fontId="1" fillId="0" borderId="0" xfId="4" applyProtection="1">
      <protection locked="0"/>
    </xf>
    <xf numFmtId="164" fontId="3" fillId="0" borderId="0" xfId="5" applyNumberFormat="1" applyProtection="1">
      <protection locked="0"/>
    </xf>
    <xf numFmtId="10" fontId="1" fillId="0" borderId="0" xfId="6" applyNumberFormat="1"/>
    <xf numFmtId="9" fontId="1" fillId="0" borderId="0" xfId="6" applyNumberFormat="1"/>
    <xf numFmtId="9" fontId="0" fillId="0" borderId="0" xfId="7" applyFont="1" applyProtection="1">
      <protection locked="0"/>
    </xf>
    <xf numFmtId="164" fontId="1" fillId="0" borderId="0" xfId="4" applyNumberFormat="1" applyProtection="1">
      <protection locked="0"/>
    </xf>
    <xf numFmtId="166" fontId="1" fillId="3" borderId="1" xfId="4" applyNumberFormat="1" applyFill="1" applyBorder="1" applyAlignment="1" applyProtection="1">
      <alignment horizontal="center"/>
      <protection locked="0"/>
    </xf>
    <xf numFmtId="164" fontId="1" fillId="4" borderId="1" xfId="4" applyNumberFormat="1" applyFill="1" applyBorder="1" applyAlignment="1">
      <alignment horizontal="center"/>
    </xf>
    <xf numFmtId="166" fontId="1" fillId="2" borderId="1" xfId="4" applyNumberFormat="1" applyFill="1" applyBorder="1" applyAlignment="1">
      <alignment horizontal="center"/>
    </xf>
    <xf numFmtId="0" fontId="45" fillId="11" borderId="1" xfId="6" applyFont="1" applyFill="1" applyBorder="1" applyAlignment="1">
      <alignment horizontal="center" vertical="top"/>
    </xf>
    <xf numFmtId="0" fontId="45" fillId="11" borderId="45" xfId="6" applyFont="1" applyFill="1" applyBorder="1" applyAlignment="1">
      <alignment horizontal="center" vertical="top"/>
    </xf>
    <xf numFmtId="1" fontId="47" fillId="12" borderId="1" xfId="6" applyNumberFormat="1" applyFont="1" applyFill="1" applyBorder="1" applyAlignment="1">
      <alignment horizontal="center"/>
    </xf>
    <xf numFmtId="1" fontId="47" fillId="12" borderId="45" xfId="6" applyNumberFormat="1" applyFont="1" applyFill="1" applyBorder="1" applyAlignment="1">
      <alignment horizontal="center"/>
    </xf>
    <xf numFmtId="0" fontId="2" fillId="2" borderId="1" xfId="0" applyFont="1" applyFill="1" applyBorder="1"/>
    <xf numFmtId="2" fontId="2" fillId="4" borderId="1" xfId="4" applyNumberFormat="1" applyFont="1" applyFill="1" applyBorder="1" applyAlignment="1">
      <alignment horizontal="right"/>
    </xf>
    <xf numFmtId="1" fontId="1" fillId="4" borderId="1" xfId="4" applyNumberFormat="1" applyFill="1" applyBorder="1" applyAlignment="1">
      <alignment horizontal="right"/>
    </xf>
    <xf numFmtId="0" fontId="2" fillId="2" borderId="2" xfId="0" applyFont="1" applyFill="1" applyBorder="1"/>
    <xf numFmtId="2" fontId="2" fillId="4" borderId="4" xfId="4" applyNumberFormat="1" applyFont="1" applyFill="1" applyBorder="1" applyAlignment="1">
      <alignment horizontal="right"/>
    </xf>
    <xf numFmtId="0" fontId="2" fillId="2" borderId="10" xfId="0" applyFont="1" applyFill="1" applyBorder="1" applyAlignment="1">
      <alignment horizontal="center" vertical="center" wrapText="1"/>
    </xf>
    <xf numFmtId="0" fontId="0" fillId="3" borderId="4" xfId="0" applyFill="1" applyBorder="1" applyAlignment="1" applyProtection="1">
      <alignment wrapText="1"/>
      <protection locked="0"/>
    </xf>
    <xf numFmtId="10" fontId="2" fillId="11" borderId="1" xfId="3" applyNumberFormat="1" applyFont="1" applyFill="1" applyBorder="1" applyAlignment="1" applyProtection="1">
      <alignment horizontal="center"/>
      <protection locked="0"/>
    </xf>
    <xf numFmtId="1" fontId="0" fillId="3" borderId="10" xfId="0" applyNumberFormat="1" applyFill="1" applyBorder="1"/>
    <xf numFmtId="166" fontId="1" fillId="26" borderId="1" xfId="4" applyNumberFormat="1" applyFill="1" applyBorder="1" applyAlignment="1" applyProtection="1">
      <alignment horizontal="center"/>
      <protection locked="0"/>
    </xf>
    <xf numFmtId="0" fontId="2" fillId="26" borderId="34" xfId="4" applyFont="1" applyFill="1" applyBorder="1" applyAlignment="1" applyProtection="1">
      <alignment horizontal="center" wrapText="1"/>
      <protection locked="0"/>
    </xf>
    <xf numFmtId="10" fontId="2" fillId="26" borderId="34" xfId="3" applyNumberFormat="1" applyFont="1" applyFill="1" applyBorder="1" applyAlignment="1" applyProtection="1">
      <alignment horizontal="center"/>
      <protection locked="0"/>
    </xf>
    <xf numFmtId="0" fontId="0" fillId="2" borderId="39" xfId="0" applyFill="1" applyBorder="1" applyAlignment="1" applyProtection="1">
      <alignment horizontal="center"/>
      <protection locked="0"/>
    </xf>
    <xf numFmtId="0" fontId="0" fillId="0" borderId="1" xfId="0" applyBorder="1" applyAlignment="1">
      <alignment horizontal="center" wrapText="1"/>
    </xf>
    <xf numFmtId="172" fontId="25" fillId="3" borderId="4" xfId="0" applyNumberFormat="1" applyFont="1" applyFill="1" applyBorder="1" applyAlignment="1">
      <alignment horizontal="center"/>
    </xf>
    <xf numFmtId="0" fontId="5" fillId="3" borderId="20" xfId="0" applyFont="1" applyFill="1" applyBorder="1"/>
    <xf numFmtId="171" fontId="0" fillId="0" borderId="0" xfId="0" applyNumberFormat="1"/>
    <xf numFmtId="0" fontId="49" fillId="0" borderId="0" xfId="0" applyFont="1"/>
    <xf numFmtId="173" fontId="2" fillId="16" borderId="13" xfId="1" applyNumberFormat="1" applyFont="1" applyFill="1" applyBorder="1" applyAlignment="1">
      <alignment horizontal="center"/>
    </xf>
    <xf numFmtId="0" fontId="2" fillId="4" borderId="20" xfId="0" applyFont="1" applyFill="1" applyBorder="1" applyAlignment="1">
      <alignment horizontal="center"/>
    </xf>
    <xf numFmtId="0" fontId="2" fillId="4" borderId="44" xfId="0" applyFont="1" applyFill="1" applyBorder="1" applyAlignment="1">
      <alignment horizontal="center"/>
    </xf>
    <xf numFmtId="173" fontId="2" fillId="16" borderId="47" xfId="1" applyNumberFormat="1" applyFont="1" applyFill="1" applyBorder="1" applyAlignment="1">
      <alignment horizontal="center"/>
    </xf>
    <xf numFmtId="0" fontId="2" fillId="16" borderId="12" xfId="0" applyFont="1" applyFill="1" applyBorder="1" applyAlignment="1">
      <alignment horizontal="center"/>
    </xf>
    <xf numFmtId="0" fontId="2" fillId="16" borderId="48" xfId="0" applyFont="1" applyFill="1" applyBorder="1" applyAlignment="1">
      <alignment horizontal="center"/>
    </xf>
    <xf numFmtId="0" fontId="2" fillId="4" borderId="28" xfId="0" applyFont="1" applyFill="1" applyBorder="1" applyAlignment="1">
      <alignment horizontal="center"/>
    </xf>
    <xf numFmtId="0" fontId="2" fillId="16" borderId="49" xfId="0" applyFont="1" applyFill="1" applyBorder="1" applyAlignment="1">
      <alignment horizontal="center"/>
    </xf>
    <xf numFmtId="0" fontId="2" fillId="16" borderId="16" xfId="0" applyFont="1" applyFill="1" applyBorder="1" applyAlignment="1">
      <alignment horizontal="center"/>
    </xf>
    <xf numFmtId="1" fontId="2" fillId="17" borderId="43" xfId="0" applyNumberFormat="1" applyFont="1" applyFill="1" applyBorder="1" applyAlignment="1">
      <alignment horizontal="center"/>
    </xf>
    <xf numFmtId="173" fontId="0" fillId="17" borderId="23" xfId="1" applyNumberFormat="1" applyFont="1" applyFill="1" applyBorder="1" applyAlignment="1">
      <alignment horizontal="center"/>
    </xf>
    <xf numFmtId="173" fontId="0" fillId="17" borderId="46" xfId="1" applyNumberFormat="1" applyFont="1" applyFill="1" applyBorder="1" applyAlignment="1">
      <alignment horizontal="center"/>
    </xf>
    <xf numFmtId="0" fontId="0" fillId="17" borderId="36" xfId="0" applyFill="1" applyBorder="1" applyAlignment="1">
      <alignment horizontal="center"/>
    </xf>
    <xf numFmtId="1" fontId="0" fillId="17" borderId="20" xfId="0" applyNumberFormat="1" applyFill="1" applyBorder="1" applyAlignment="1">
      <alignment horizontal="center"/>
    </xf>
    <xf numFmtId="1" fontId="0" fillId="17" borderId="44" xfId="0" applyNumberFormat="1" applyFill="1" applyBorder="1" applyAlignment="1">
      <alignment horizontal="center"/>
    </xf>
    <xf numFmtId="1" fontId="0" fillId="17" borderId="4" xfId="0" applyNumberFormat="1" applyFill="1" applyBorder="1" applyAlignment="1">
      <alignment horizontal="center"/>
    </xf>
    <xf numFmtId="0" fontId="0" fillId="17" borderId="50" xfId="0" applyFill="1" applyBorder="1" applyAlignment="1">
      <alignment horizontal="center"/>
    </xf>
    <xf numFmtId="0" fontId="0" fillId="17" borderId="49" xfId="0" applyFill="1" applyBorder="1" applyAlignment="1">
      <alignment horizontal="center"/>
    </xf>
    <xf numFmtId="0" fontId="2" fillId="16" borderId="17" xfId="0" applyFont="1" applyFill="1" applyBorder="1" applyAlignment="1">
      <alignment horizontal="center"/>
    </xf>
    <xf numFmtId="2" fontId="2" fillId="16" borderId="23" xfId="0" applyNumberFormat="1" applyFont="1" applyFill="1" applyBorder="1" applyAlignment="1">
      <alignment horizontal="center"/>
    </xf>
    <xf numFmtId="1" fontId="0" fillId="17" borderId="47" xfId="0" applyNumberFormat="1" applyFill="1" applyBorder="1" applyAlignment="1">
      <alignment horizontal="center"/>
    </xf>
    <xf numFmtId="2" fontId="2" fillId="16" borderId="46" xfId="0" applyNumberFormat="1" applyFont="1" applyFill="1" applyBorder="1" applyAlignment="1">
      <alignment horizontal="center"/>
    </xf>
    <xf numFmtId="1" fontId="2" fillId="4" borderId="20" xfId="0" applyNumberFormat="1" applyFont="1" applyFill="1" applyBorder="1" applyAlignment="1">
      <alignment horizontal="center"/>
    </xf>
    <xf numFmtId="0" fontId="2" fillId="4" borderId="31" xfId="0" applyFont="1" applyFill="1" applyBorder="1" applyAlignment="1">
      <alignment horizontal="center"/>
    </xf>
    <xf numFmtId="0" fontId="0" fillId="0" borderId="32" xfId="0" applyBorder="1" applyAlignment="1">
      <alignment horizontal="center"/>
    </xf>
    <xf numFmtId="0" fontId="2" fillId="0" borderId="1" xfId="0" applyFont="1" applyBorder="1" applyAlignment="1">
      <alignment horizontal="right"/>
    </xf>
    <xf numFmtId="1" fontId="0" fillId="0" borderId="24" xfId="0" applyNumberFormat="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171" fontId="0" fillId="0" borderId="26" xfId="0" applyNumberFormat="1" applyBorder="1" applyAlignment="1">
      <alignment horizontal="center"/>
    </xf>
    <xf numFmtId="0" fontId="0" fillId="0" borderId="34" xfId="0" applyBorder="1" applyAlignment="1">
      <alignment horizontal="center"/>
    </xf>
    <xf numFmtId="0" fontId="0" fillId="0" borderId="52" xfId="0" applyBorder="1" applyAlignment="1">
      <alignment horizontal="center"/>
    </xf>
    <xf numFmtId="0" fontId="0" fillId="0" borderId="51" xfId="0" applyBorder="1" applyAlignment="1">
      <alignment horizontal="center"/>
    </xf>
    <xf numFmtId="0" fontId="0" fillId="3" borderId="52" xfId="0" applyFill="1" applyBorder="1" applyAlignment="1">
      <alignment horizontal="center"/>
    </xf>
    <xf numFmtId="171" fontId="0" fillId="3" borderId="19" xfId="0" applyNumberFormat="1" applyFill="1" applyBorder="1" applyAlignment="1">
      <alignment horizontal="center"/>
    </xf>
    <xf numFmtId="0" fontId="0" fillId="3" borderId="19" xfId="0" applyFill="1" applyBorder="1" applyAlignment="1">
      <alignment horizontal="center"/>
    </xf>
    <xf numFmtId="0" fontId="0" fillId="3" borderId="51" xfId="0" applyFill="1" applyBorder="1" applyAlignment="1">
      <alignment horizontal="center"/>
    </xf>
    <xf numFmtId="0" fontId="0" fillId="3" borderId="27" xfId="0" applyFill="1" applyBorder="1" applyAlignment="1">
      <alignment horizontal="center"/>
    </xf>
    <xf numFmtId="0" fontId="2" fillId="4" borderId="33" xfId="0" applyFont="1" applyFill="1" applyBorder="1" applyAlignment="1">
      <alignment horizontal="center"/>
    </xf>
    <xf numFmtId="0" fontId="2" fillId="4" borderId="34" xfId="0" applyFont="1" applyFill="1" applyBorder="1" applyAlignment="1">
      <alignment horizontal="center"/>
    </xf>
    <xf numFmtId="0" fontId="0" fillId="3" borderId="10" xfId="0" applyFill="1" applyBorder="1" applyProtection="1">
      <protection locked="0"/>
    </xf>
    <xf numFmtId="173" fontId="2" fillId="9" borderId="39" xfId="1" applyNumberFormat="1" applyFont="1" applyFill="1" applyBorder="1" applyAlignment="1" applyProtection="1">
      <alignment horizontal="center"/>
      <protection locked="0"/>
    </xf>
    <xf numFmtId="174" fontId="0" fillId="0" borderId="52" xfId="0" applyNumberFormat="1" applyBorder="1" applyAlignment="1">
      <alignment horizontal="center"/>
    </xf>
    <xf numFmtId="0" fontId="2" fillId="3" borderId="51" xfId="0" applyFont="1" applyFill="1" applyBorder="1" applyAlignment="1">
      <alignment horizontal="center"/>
    </xf>
    <xf numFmtId="177" fontId="0" fillId="3" borderId="19" xfId="0" applyNumberFormat="1" applyFill="1" applyBorder="1" applyAlignment="1">
      <alignment horizontal="center"/>
    </xf>
    <xf numFmtId="171" fontId="0" fillId="20" borderId="28" xfId="0" applyNumberFormat="1" applyFill="1" applyBorder="1" applyProtection="1">
      <protection locked="0"/>
    </xf>
    <xf numFmtId="171" fontId="0" fillId="20" borderId="20" xfId="0" applyNumberFormat="1" applyFill="1" applyBorder="1" applyProtection="1">
      <protection locked="0"/>
    </xf>
    <xf numFmtId="0" fontId="2" fillId="0" borderId="28" xfId="0" applyFont="1" applyBorder="1"/>
    <xf numFmtId="0" fontId="2" fillId="0" borderId="43" xfId="0" applyFont="1" applyBorder="1"/>
    <xf numFmtId="0" fontId="2" fillId="0" borderId="44" xfId="0" applyFont="1" applyBorder="1"/>
    <xf numFmtId="0" fontId="2" fillId="0" borderId="46" xfId="0" applyFont="1" applyBorder="1"/>
    <xf numFmtId="0" fontId="0" fillId="0" borderId="31" xfId="0" applyBorder="1" applyAlignment="1">
      <alignment horizontal="center"/>
    </xf>
    <xf numFmtId="0" fontId="0" fillId="0" borderId="33" xfId="0" applyBorder="1" applyAlignment="1">
      <alignment horizontal="center"/>
    </xf>
    <xf numFmtId="171" fontId="0" fillId="0" borderId="19" xfId="0" applyNumberFormat="1" applyBorder="1" applyAlignment="1">
      <alignment horizontal="center"/>
    </xf>
    <xf numFmtId="0" fontId="0" fillId="0" borderId="19" xfId="0" applyBorder="1" applyAlignment="1">
      <alignment horizontal="center"/>
    </xf>
    <xf numFmtId="0" fontId="0" fillId="0" borderId="27" xfId="0" applyBorder="1" applyAlignment="1">
      <alignment horizontal="center"/>
    </xf>
    <xf numFmtId="0" fontId="2" fillId="0" borderId="31" xfId="0" applyFont="1" applyBorder="1"/>
    <xf numFmtId="164" fontId="2" fillId="0" borderId="34" xfId="0" applyNumberFormat="1" applyFont="1" applyBorder="1"/>
    <xf numFmtId="0" fontId="0" fillId="27" borderId="20" xfId="0" applyFill="1" applyBorder="1"/>
    <xf numFmtId="0" fontId="24" fillId="9" borderId="20" xfId="0" applyFont="1" applyFill="1" applyBorder="1"/>
    <xf numFmtId="171" fontId="2" fillId="0" borderId="1" xfId="0" applyNumberFormat="1" applyFont="1" applyBorder="1"/>
    <xf numFmtId="1" fontId="25" fillId="0" borderId="0" xfId="0" applyNumberFormat="1" applyFont="1" applyAlignment="1">
      <alignment horizontal="center"/>
    </xf>
    <xf numFmtId="167" fontId="25" fillId="0" borderId="0" xfId="1" applyNumberFormat="1" applyFont="1" applyFill="1" applyBorder="1" applyAlignment="1">
      <alignment horizontal="center"/>
    </xf>
    <xf numFmtId="167" fontId="0" fillId="0" borderId="0" xfId="0" applyNumberFormat="1" applyAlignment="1">
      <alignment horizontal="center"/>
    </xf>
    <xf numFmtId="167" fontId="25" fillId="0" borderId="0" xfId="0" applyNumberFormat="1" applyFont="1" applyAlignment="1">
      <alignment horizontal="center"/>
    </xf>
    <xf numFmtId="0" fontId="51" fillId="0" borderId="16" xfId="2" applyFont="1" applyBorder="1"/>
    <xf numFmtId="164" fontId="51" fillId="0" borderId="16" xfId="2" applyNumberFormat="1" applyFont="1" applyBorder="1"/>
    <xf numFmtId="0" fontId="51" fillId="0" borderId="0" xfId="2" applyFont="1"/>
    <xf numFmtId="164" fontId="51" fillId="0" borderId="0" xfId="2" applyNumberFormat="1" applyFont="1"/>
    <xf numFmtId="0" fontId="0" fillId="15" borderId="0" xfId="0" applyFill="1" applyAlignment="1">
      <alignment horizontal="center"/>
    </xf>
    <xf numFmtId="0" fontId="0" fillId="0" borderId="14" xfId="0" applyBorder="1"/>
    <xf numFmtId="2" fontId="0" fillId="3" borderId="44" xfId="0" applyNumberFormat="1" applyFill="1" applyBorder="1" applyAlignment="1">
      <alignment horizontal="center"/>
    </xf>
    <xf numFmtId="172" fontId="0" fillId="3" borderId="46" xfId="1" applyNumberFormat="1" applyFont="1" applyFill="1" applyBorder="1" applyAlignment="1">
      <alignment horizontal="center"/>
    </xf>
    <xf numFmtId="2" fontId="25" fillId="3" borderId="6" xfId="0" applyNumberFormat="1" applyFont="1" applyFill="1" applyBorder="1" applyAlignment="1">
      <alignment horizontal="center"/>
    </xf>
    <xf numFmtId="0" fontId="52" fillId="0" borderId="0" xfId="0" applyFont="1"/>
    <xf numFmtId="0" fontId="2" fillId="15" borderId="0" xfId="0" applyFont="1" applyFill="1"/>
    <xf numFmtId="1" fontId="52" fillId="15" borderId="0" xfId="0" applyNumberFormat="1" applyFont="1" applyFill="1"/>
    <xf numFmtId="0" fontId="52" fillId="15" borderId="0" xfId="0" applyFont="1" applyFill="1"/>
    <xf numFmtId="10" fontId="0" fillId="15" borderId="0" xfId="1" applyNumberFormat="1" applyFont="1" applyFill="1"/>
    <xf numFmtId="164" fontId="11" fillId="10" borderId="46" xfId="0" applyNumberFormat="1" applyFont="1" applyFill="1" applyBorder="1" applyAlignment="1">
      <alignment horizontal="center"/>
    </xf>
    <xf numFmtId="0" fontId="11" fillId="10" borderId="45" xfId="0" applyFont="1" applyFill="1" applyBorder="1" applyAlignment="1">
      <alignment horizontal="center"/>
    </xf>
    <xf numFmtId="171" fontId="0" fillId="0" borderId="56" xfId="0" applyNumberFormat="1" applyBorder="1" applyAlignment="1">
      <alignment horizontal="center"/>
    </xf>
    <xf numFmtId="171" fontId="11" fillId="10" borderId="48" xfId="0" applyNumberFormat="1" applyFont="1" applyFill="1" applyBorder="1" applyAlignment="1">
      <alignment horizontal="center"/>
    </xf>
    <xf numFmtId="171" fontId="11" fillId="10" borderId="45" xfId="0" applyNumberFormat="1" applyFont="1" applyFill="1" applyBorder="1" applyAlignment="1">
      <alignment horizontal="center"/>
    </xf>
    <xf numFmtId="2" fontId="11" fillId="10" borderId="45" xfId="0" applyNumberFormat="1" applyFont="1" applyFill="1" applyBorder="1" applyAlignment="1">
      <alignment horizontal="center" vertical="center"/>
    </xf>
    <xf numFmtId="170" fontId="11" fillId="10" borderId="1" xfId="0" applyNumberFormat="1" applyFont="1" applyFill="1" applyBorder="1" applyAlignment="1">
      <alignment horizontal="center" vertical="center"/>
    </xf>
    <xf numFmtId="170" fontId="11" fillId="10" borderId="45" xfId="0" applyNumberFormat="1" applyFont="1" applyFill="1" applyBorder="1" applyAlignment="1">
      <alignment horizontal="center" vertical="center"/>
    </xf>
    <xf numFmtId="1" fontId="10" fillId="10" borderId="56" xfId="0" applyNumberFormat="1" applyFont="1" applyFill="1" applyBorder="1" applyAlignment="1">
      <alignment horizontal="center"/>
    </xf>
    <xf numFmtId="14" fontId="0" fillId="0" borderId="0" xfId="0" applyNumberFormat="1"/>
    <xf numFmtId="164" fontId="11" fillId="10" borderId="21" xfId="0" applyNumberFormat="1" applyFont="1" applyFill="1" applyBorder="1" applyAlignment="1">
      <alignment horizontal="center"/>
    </xf>
    <xf numFmtId="171" fontId="0" fillId="0" borderId="55" xfId="0" applyNumberFormat="1" applyBorder="1" applyAlignment="1">
      <alignment horizontal="center"/>
    </xf>
    <xf numFmtId="171" fontId="11" fillId="10" borderId="12" xfId="0" applyNumberFormat="1" applyFont="1" applyFill="1" applyBorder="1" applyAlignment="1">
      <alignment horizontal="center"/>
    </xf>
    <xf numFmtId="171" fontId="11" fillId="10" borderId="6" xfId="0" applyNumberFormat="1" applyFont="1" applyFill="1" applyBorder="1" applyAlignment="1">
      <alignment horizontal="center"/>
    </xf>
    <xf numFmtId="2" fontId="11" fillId="10" borderId="6" xfId="0" applyNumberFormat="1" applyFont="1" applyFill="1" applyBorder="1" applyAlignment="1">
      <alignment horizontal="center" vertical="center"/>
    </xf>
    <xf numFmtId="1" fontId="10" fillId="10" borderId="55" xfId="0" applyNumberFormat="1" applyFont="1" applyFill="1" applyBorder="1" applyAlignment="1">
      <alignment horizontal="center"/>
    </xf>
    <xf numFmtId="0" fontId="11" fillId="10" borderId="27" xfId="0" applyFont="1" applyFill="1" applyBorder="1"/>
    <xf numFmtId="0" fontId="11" fillId="10" borderId="25" xfId="0" applyFont="1" applyFill="1" applyBorder="1"/>
    <xf numFmtId="0" fontId="11" fillId="10" borderId="19" xfId="0" applyFont="1" applyFill="1" applyBorder="1"/>
    <xf numFmtId="0" fontId="11" fillId="10" borderId="24" xfId="0" applyFont="1" applyFill="1" applyBorder="1"/>
    <xf numFmtId="0" fontId="11" fillId="10" borderId="17" xfId="0" applyFont="1" applyFill="1" applyBorder="1"/>
    <xf numFmtId="0" fontId="11" fillId="10" borderId="35" xfId="0" applyFont="1" applyFill="1" applyBorder="1"/>
    <xf numFmtId="0" fontId="0" fillId="10" borderId="22" xfId="0" applyFill="1" applyBorder="1" applyAlignment="1">
      <alignment horizontal="center"/>
    </xf>
    <xf numFmtId="0" fontId="0" fillId="10" borderId="10" xfId="0" applyFill="1" applyBorder="1" applyAlignment="1">
      <alignment horizontal="center"/>
    </xf>
    <xf numFmtId="171" fontId="0" fillId="10" borderId="37" xfId="0" applyNumberFormat="1" applyFill="1" applyBorder="1" applyAlignment="1">
      <alignment horizontal="center"/>
    </xf>
    <xf numFmtId="171" fontId="11" fillId="10" borderId="5" xfId="0" applyNumberFormat="1" applyFont="1" applyFill="1" applyBorder="1" applyAlignment="1">
      <alignment horizontal="center"/>
    </xf>
    <xf numFmtId="171" fontId="11" fillId="10" borderId="9" xfId="0" applyNumberFormat="1" applyFont="1" applyFill="1" applyBorder="1" applyAlignment="1">
      <alignment horizontal="center"/>
    </xf>
    <xf numFmtId="171" fontId="10" fillId="10" borderId="55" xfId="0" applyNumberFormat="1" applyFont="1" applyFill="1" applyBorder="1" applyAlignment="1">
      <alignment horizontal="center"/>
    </xf>
    <xf numFmtId="0" fontId="11" fillId="10" borderId="53" xfId="0" applyFont="1" applyFill="1" applyBorder="1" applyAlignment="1">
      <alignment horizontal="center"/>
    </xf>
    <xf numFmtId="0" fontId="11" fillId="10" borderId="61" xfId="0" applyFont="1" applyFill="1" applyBorder="1" applyAlignment="1">
      <alignment horizontal="center"/>
    </xf>
    <xf numFmtId="0" fontId="11" fillId="10" borderId="35" xfId="0" applyFont="1" applyFill="1" applyBorder="1" applyAlignment="1">
      <alignment horizontal="center"/>
    </xf>
    <xf numFmtId="0" fontId="11" fillId="10" borderId="60" xfId="0" applyFont="1" applyFill="1" applyBorder="1" applyAlignment="1">
      <alignment horizontal="center"/>
    </xf>
    <xf numFmtId="171" fontId="10" fillId="10" borderId="35" xfId="0" applyNumberFormat="1" applyFont="1" applyFill="1" applyBorder="1" applyAlignment="1">
      <alignment horizontal="center"/>
    </xf>
    <xf numFmtId="0" fontId="11" fillId="15" borderId="0" xfId="0" applyFont="1" applyFill="1"/>
    <xf numFmtId="171" fontId="11" fillId="10" borderId="46" xfId="0" applyNumberFormat="1" applyFont="1" applyFill="1" applyBorder="1" applyAlignment="1">
      <alignment horizontal="center" vertical="center"/>
    </xf>
    <xf numFmtId="171" fontId="11" fillId="10" borderId="45" xfId="0" applyNumberFormat="1" applyFont="1" applyFill="1" applyBorder="1" applyAlignment="1">
      <alignment horizontal="center" vertical="center"/>
    </xf>
    <xf numFmtId="171" fontId="11" fillId="10" borderId="44" xfId="0" applyNumberFormat="1" applyFont="1" applyFill="1" applyBorder="1" applyAlignment="1">
      <alignment horizontal="center" vertical="center"/>
    </xf>
    <xf numFmtId="0" fontId="11" fillId="10" borderId="1" xfId="0" applyFont="1" applyFill="1" applyBorder="1"/>
    <xf numFmtId="0" fontId="0" fillId="9" borderId="1" xfId="0" applyFill="1" applyBorder="1" applyAlignment="1" applyProtection="1">
      <alignment horizontal="center"/>
      <protection locked="0"/>
    </xf>
    <xf numFmtId="171" fontId="11" fillId="10" borderId="54" xfId="0" applyNumberFormat="1" applyFont="1" applyFill="1" applyBorder="1" applyAlignment="1">
      <alignment horizontal="center" vertical="center"/>
    </xf>
    <xf numFmtId="171" fontId="11" fillId="10" borderId="9" xfId="0" applyNumberFormat="1" applyFont="1" applyFill="1" applyBorder="1" applyAlignment="1">
      <alignment horizontal="center" vertical="center"/>
    </xf>
    <xf numFmtId="171" fontId="11" fillId="10" borderId="62" xfId="0" applyNumberFormat="1" applyFont="1" applyFill="1" applyBorder="1" applyAlignment="1">
      <alignment horizontal="center" vertical="center"/>
    </xf>
    <xf numFmtId="164" fontId="11" fillId="10" borderId="1" xfId="0" applyNumberFormat="1" applyFont="1" applyFill="1" applyBorder="1" applyAlignment="1">
      <alignment horizontal="center"/>
    </xf>
    <xf numFmtId="171" fontId="0" fillId="9" borderId="1" xfId="0" applyNumberFormat="1" applyFill="1" applyBorder="1" applyAlignment="1" applyProtection="1">
      <alignment horizontal="center"/>
      <protection locked="0"/>
    </xf>
    <xf numFmtId="168" fontId="11" fillId="10" borderId="1" xfId="1" applyNumberFormat="1" applyFont="1" applyFill="1" applyBorder="1" applyAlignment="1">
      <alignment horizontal="center"/>
    </xf>
    <xf numFmtId="164" fontId="11" fillId="10" borderId="9" xfId="0" applyNumberFormat="1" applyFont="1" applyFill="1" applyBorder="1" applyAlignment="1">
      <alignment horizontal="center"/>
    </xf>
    <xf numFmtId="171" fontId="11" fillId="10" borderId="1" xfId="0" applyNumberFormat="1" applyFont="1" applyFill="1" applyBorder="1" applyAlignment="1">
      <alignment horizontal="center"/>
    </xf>
    <xf numFmtId="0" fontId="2" fillId="15" borderId="0" xfId="0" applyFont="1" applyFill="1" applyAlignment="1">
      <alignment horizontal="center"/>
    </xf>
    <xf numFmtId="0" fontId="11" fillId="15" borderId="0" xfId="0" applyFont="1" applyFill="1" applyAlignment="1">
      <alignment horizontal="center"/>
    </xf>
    <xf numFmtId="0" fontId="52" fillId="15" borderId="0" xfId="0" applyFont="1" applyFill="1" applyAlignment="1">
      <alignment horizontal="center"/>
    </xf>
    <xf numFmtId="171" fontId="11" fillId="10" borderId="23" xfId="0" applyNumberFormat="1" applyFont="1" applyFill="1" applyBorder="1" applyAlignment="1">
      <alignment horizontal="center" vertical="center"/>
    </xf>
    <xf numFmtId="171" fontId="11" fillId="10" borderId="1" xfId="0" applyNumberFormat="1" applyFont="1" applyFill="1" applyBorder="1" applyAlignment="1">
      <alignment horizontal="center" vertical="center"/>
    </xf>
    <xf numFmtId="171" fontId="11" fillId="10" borderId="20" xfId="0" applyNumberFormat="1" applyFont="1" applyFill="1" applyBorder="1" applyAlignment="1">
      <alignment horizontal="center" vertical="center"/>
    </xf>
    <xf numFmtId="0" fontId="11" fillId="10" borderId="10" xfId="0" applyFont="1" applyFill="1" applyBorder="1" applyAlignment="1">
      <alignment horizontal="center"/>
    </xf>
    <xf numFmtId="168" fontId="11" fillId="10" borderId="10" xfId="1" applyNumberFormat="1" applyFont="1" applyFill="1" applyBorder="1" applyAlignment="1">
      <alignment horizontal="center"/>
    </xf>
    <xf numFmtId="171" fontId="0" fillId="10" borderId="1" xfId="0" applyNumberFormat="1" applyFill="1" applyBorder="1" applyAlignment="1">
      <alignment horizontal="center"/>
    </xf>
    <xf numFmtId="0" fontId="11" fillId="10" borderId="54" xfId="0" applyFont="1" applyFill="1" applyBorder="1" applyAlignment="1">
      <alignment horizontal="center" vertical="center"/>
    </xf>
    <xf numFmtId="0" fontId="11" fillId="10" borderId="9" xfId="0" applyFont="1" applyFill="1" applyBorder="1" applyAlignment="1">
      <alignment horizontal="center" vertical="center"/>
    </xf>
    <xf numFmtId="0" fontId="11" fillId="10" borderId="62" xfId="0" applyFont="1" applyFill="1" applyBorder="1" applyAlignment="1">
      <alignment horizontal="center" vertical="center"/>
    </xf>
    <xf numFmtId="0" fontId="0" fillId="9" borderId="8" xfId="0" applyFill="1" applyBorder="1" applyAlignment="1">
      <alignment horizontal="center"/>
    </xf>
    <xf numFmtId="168" fontId="11" fillId="10" borderId="9" xfId="1" applyNumberFormat="1" applyFont="1" applyFill="1" applyBorder="1" applyAlignment="1">
      <alignment horizontal="center"/>
    </xf>
    <xf numFmtId="0" fontId="11" fillId="10" borderId="15" xfId="0" applyFont="1" applyFill="1" applyBorder="1" applyAlignment="1">
      <alignment horizontal="center"/>
    </xf>
    <xf numFmtId="0" fontId="11" fillId="10" borderId="9" xfId="0" applyFont="1" applyFill="1" applyBorder="1" applyAlignment="1">
      <alignment horizontal="center"/>
    </xf>
    <xf numFmtId="0" fontId="0" fillId="9" borderId="5" xfId="0" applyFill="1" applyBorder="1" applyAlignment="1">
      <alignment horizontal="center"/>
    </xf>
    <xf numFmtId="168" fontId="2" fillId="0" borderId="0" xfId="1" applyNumberFormat="1" applyFont="1" applyFill="1" applyBorder="1"/>
    <xf numFmtId="168" fontId="2" fillId="9" borderId="14" xfId="1" applyNumberFormat="1" applyFont="1" applyFill="1" applyBorder="1" applyAlignment="1" applyProtection="1">
      <alignment horizontal="right"/>
      <protection locked="0"/>
    </xf>
    <xf numFmtId="0" fontId="2" fillId="15" borderId="8" xfId="0" applyFont="1" applyFill="1" applyBorder="1"/>
    <xf numFmtId="0" fontId="25" fillId="15" borderId="0" xfId="0" applyFont="1" applyFill="1"/>
    <xf numFmtId="168" fontId="2" fillId="9" borderId="15" xfId="1" applyNumberFormat="1" applyFont="1" applyFill="1" applyBorder="1" applyAlignment="1" applyProtection="1">
      <alignment horizontal="right"/>
      <protection locked="0"/>
    </xf>
    <xf numFmtId="0" fontId="2" fillId="15" borderId="5" xfId="0" applyFont="1" applyFill="1" applyBorder="1"/>
    <xf numFmtId="171" fontId="2" fillId="15" borderId="0" xfId="1" applyNumberFormat="1" applyFont="1" applyFill="1" applyBorder="1"/>
    <xf numFmtId="171" fontId="2" fillId="9" borderId="14" xfId="1" applyNumberFormat="1" applyFont="1" applyFill="1" applyBorder="1" applyProtection="1">
      <protection locked="0"/>
    </xf>
    <xf numFmtId="3" fontId="52" fillId="15" borderId="0" xfId="0" applyNumberFormat="1" applyFont="1" applyFill="1" applyAlignment="1">
      <alignment horizontal="center"/>
    </xf>
    <xf numFmtId="172" fontId="2" fillId="9" borderId="15" xfId="1" applyNumberFormat="1" applyFont="1" applyFill="1" applyBorder="1" applyProtection="1">
      <protection locked="0"/>
    </xf>
    <xf numFmtId="168" fontId="2" fillId="9" borderId="15" xfId="1" applyNumberFormat="1" applyFont="1" applyFill="1" applyBorder="1" applyProtection="1">
      <protection locked="0"/>
    </xf>
    <xf numFmtId="168" fontId="2" fillId="9" borderId="1" xfId="1" applyNumberFormat="1" applyFont="1" applyFill="1" applyBorder="1" applyProtection="1">
      <protection locked="0"/>
    </xf>
    <xf numFmtId="0" fontId="2" fillId="0" borderId="8" xfId="0" applyFont="1" applyBorder="1"/>
    <xf numFmtId="0" fontId="55" fillId="15" borderId="0" xfId="0" applyFont="1" applyFill="1"/>
    <xf numFmtId="0" fontId="55" fillId="20" borderId="1" xfId="0" applyFont="1" applyFill="1" applyBorder="1" applyProtection="1">
      <protection locked="0"/>
    </xf>
    <xf numFmtId="0" fontId="0" fillId="15" borderId="11" xfId="0" applyFill="1" applyBorder="1" applyAlignment="1">
      <alignment horizontal="center"/>
    </xf>
    <xf numFmtId="0" fontId="0" fillId="15" borderId="8" xfId="0" applyFill="1" applyBorder="1"/>
    <xf numFmtId="0" fontId="0" fillId="9" borderId="4" xfId="0" applyFill="1" applyBorder="1" applyAlignment="1" applyProtection="1">
      <alignment horizontal="center"/>
      <protection locked="0"/>
    </xf>
    <xf numFmtId="0" fontId="0" fillId="9" borderId="15" xfId="0" applyFill="1" applyBorder="1" applyAlignment="1" applyProtection="1">
      <alignment horizontal="center"/>
      <protection locked="0"/>
    </xf>
    <xf numFmtId="0" fontId="0" fillId="15" borderId="5" xfId="0" applyFill="1" applyBorder="1"/>
    <xf numFmtId="14" fontId="0" fillId="9" borderId="15" xfId="0" applyNumberFormat="1"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15" borderId="7" xfId="0" applyFill="1" applyBorder="1"/>
    <xf numFmtId="0" fontId="33" fillId="0" borderId="0" xfId="0" applyFont="1"/>
    <xf numFmtId="0" fontId="33" fillId="15" borderId="0" xfId="0" applyFont="1" applyFill="1"/>
    <xf numFmtId="0" fontId="34" fillId="0" borderId="0" xfId="0" applyFont="1" applyAlignment="1">
      <alignment horizontal="center" vertical="top" wrapText="1"/>
    </xf>
    <xf numFmtId="0" fontId="30" fillId="0" borderId="0" xfId="0" applyFont="1" applyAlignment="1">
      <alignment wrapText="1"/>
    </xf>
    <xf numFmtId="14" fontId="30" fillId="0" borderId="0" xfId="0" applyNumberFormat="1" applyFont="1"/>
    <xf numFmtId="0" fontId="31" fillId="0" borderId="0" xfId="0" applyFont="1" applyAlignment="1">
      <alignment vertical="center" wrapText="1"/>
    </xf>
    <xf numFmtId="0" fontId="2" fillId="0" borderId="0" xfId="0" applyFont="1" applyAlignment="1">
      <alignment vertical="center"/>
    </xf>
    <xf numFmtId="0" fontId="31" fillId="15" borderId="0" xfId="0" applyFont="1" applyFill="1" applyAlignment="1">
      <alignment vertical="center" wrapText="1"/>
    </xf>
    <xf numFmtId="0" fontId="2" fillId="15" borderId="0" xfId="0" applyFont="1" applyFill="1" applyAlignment="1">
      <alignment vertical="center"/>
    </xf>
    <xf numFmtId="0" fontId="30" fillId="0" borderId="0" xfId="0" applyFont="1" applyAlignment="1">
      <alignment horizontal="left" wrapText="1"/>
    </xf>
    <xf numFmtId="0" fontId="44" fillId="0" borderId="0" xfId="0" applyFont="1" applyAlignment="1">
      <alignment horizontal="center"/>
    </xf>
    <xf numFmtId="0" fontId="44" fillId="0" borderId="0" xfId="0" applyFont="1" applyAlignment="1">
      <alignment horizontal="right"/>
    </xf>
    <xf numFmtId="0" fontId="0" fillId="0" borderId="34" xfId="0" applyBorder="1"/>
    <xf numFmtId="0" fontId="0" fillId="0" borderId="39" xfId="0" applyBorder="1"/>
    <xf numFmtId="0" fontId="0" fillId="0" borderId="40" xfId="0" applyBorder="1"/>
    <xf numFmtId="0" fontId="0" fillId="0" borderId="63" xfId="0" applyBorder="1"/>
    <xf numFmtId="0" fontId="0" fillId="3" borderId="24" xfId="0" applyFill="1" applyBorder="1" applyAlignment="1">
      <alignment horizontal="center"/>
    </xf>
    <xf numFmtId="164" fontId="0" fillId="3" borderId="19" xfId="0" applyNumberFormat="1" applyFill="1" applyBorder="1" applyAlignment="1">
      <alignment horizontal="center"/>
    </xf>
    <xf numFmtId="0" fontId="0" fillId="3" borderId="25" xfId="0" applyFill="1" applyBorder="1" applyAlignment="1">
      <alignment horizontal="center"/>
    </xf>
    <xf numFmtId="164" fontId="0" fillId="3" borderId="27" xfId="0" applyNumberFormat="1" applyFill="1" applyBorder="1" applyAlignment="1">
      <alignment horizontal="center"/>
    </xf>
    <xf numFmtId="0" fontId="2" fillId="2" borderId="4" xfId="0" applyFont="1" applyFill="1" applyBorder="1" applyAlignment="1">
      <alignment horizontal="right"/>
    </xf>
    <xf numFmtId="164" fontId="0" fillId="3" borderId="6" xfId="0" applyNumberFormat="1" applyFill="1" applyBorder="1" applyAlignment="1">
      <alignment horizontal="center"/>
    </xf>
    <xf numFmtId="0" fontId="2" fillId="2" borderId="3" xfId="0" applyFont="1" applyFill="1" applyBorder="1"/>
    <xf numFmtId="0" fontId="2" fillId="2" borderId="4" xfId="0" applyFont="1" applyFill="1" applyBorder="1"/>
    <xf numFmtId="0" fontId="2" fillId="4" borderId="10" xfId="0" applyFont="1" applyFill="1" applyBorder="1" applyAlignment="1">
      <alignment horizontal="center"/>
    </xf>
    <xf numFmtId="0" fontId="0" fillId="2" borderId="6" xfId="0" applyFill="1" applyBorder="1" applyAlignment="1">
      <alignment horizontal="center"/>
    </xf>
    <xf numFmtId="2" fontId="0" fillId="3" borderId="10" xfId="0" applyNumberFormat="1" applyFill="1" applyBorder="1" applyProtection="1">
      <protection locked="0"/>
    </xf>
    <xf numFmtId="172" fontId="2" fillId="3" borderId="10" xfId="0" applyNumberFormat="1" applyFont="1" applyFill="1" applyBorder="1"/>
    <xf numFmtId="168" fontId="0" fillId="3" borderId="10" xfId="0" applyNumberFormat="1" applyFill="1" applyBorder="1" applyAlignment="1">
      <alignment horizontal="center"/>
    </xf>
    <xf numFmtId="0" fontId="0" fillId="3" borderId="10" xfId="0" applyFill="1" applyBorder="1" applyAlignment="1">
      <alignment horizontal="center"/>
    </xf>
    <xf numFmtId="0" fontId="1" fillId="0" borderId="0" xfId="0" applyFont="1"/>
    <xf numFmtId="167" fontId="2" fillId="15" borderId="0" xfId="0" applyNumberFormat="1" applyFont="1" applyFill="1"/>
    <xf numFmtId="164" fontId="31" fillId="3" borderId="1" xfId="0" applyNumberFormat="1" applyFont="1" applyFill="1" applyBorder="1" applyAlignment="1">
      <alignment horizontal="center"/>
    </xf>
    <xf numFmtId="0" fontId="31" fillId="3" borderId="20" xfId="0" applyFont="1" applyFill="1" applyBorder="1" applyAlignment="1">
      <alignment horizontal="center"/>
    </xf>
    <xf numFmtId="0" fontId="31" fillId="26" borderId="1" xfId="0" applyFont="1" applyFill="1" applyBorder="1" applyAlignment="1">
      <alignment horizontal="center"/>
    </xf>
    <xf numFmtId="0" fontId="30" fillId="21" borderId="41" xfId="0" applyFont="1" applyFill="1" applyBorder="1" applyAlignment="1" applyProtection="1">
      <alignment horizontal="center"/>
      <protection locked="0"/>
    </xf>
    <xf numFmtId="0" fontId="11" fillId="0" borderId="0" xfId="0" applyFont="1"/>
    <xf numFmtId="10" fontId="11" fillId="0" borderId="0" xfId="6" applyNumberFormat="1" applyFont="1"/>
    <xf numFmtId="9" fontId="11" fillId="0" borderId="0" xfId="6" applyNumberFormat="1" applyFont="1"/>
    <xf numFmtId="2" fontId="11" fillId="0" borderId="0" xfId="0" applyNumberFormat="1" applyFont="1"/>
    <xf numFmtId="164" fontId="11" fillId="0" borderId="0" xfId="0" applyNumberFormat="1" applyFont="1"/>
    <xf numFmtId="1" fontId="11" fillId="0" borderId="0" xfId="0" applyNumberFormat="1" applyFont="1"/>
    <xf numFmtId="169" fontId="11" fillId="0" borderId="0" xfId="0" applyNumberFormat="1" applyFont="1"/>
    <xf numFmtId="164" fontId="0" fillId="3" borderId="1" xfId="0" applyNumberFormat="1" applyFill="1" applyBorder="1" applyAlignment="1">
      <alignment horizontal="center"/>
    </xf>
    <xf numFmtId="0" fontId="2" fillId="4" borderId="2" xfId="0" applyFont="1" applyFill="1" applyBorder="1" applyAlignment="1">
      <alignment horizontal="center"/>
    </xf>
    <xf numFmtId="0" fontId="0" fillId="0" borderId="0" xfId="0" applyAlignment="1">
      <alignment horizontal="center" wrapText="1"/>
    </xf>
    <xf numFmtId="0" fontId="44" fillId="0" borderId="0" xfId="0" applyFont="1"/>
    <xf numFmtId="0" fontId="44" fillId="15" borderId="0" xfId="0" applyFont="1" applyFill="1"/>
    <xf numFmtId="0" fontId="2" fillId="4" borderId="4" xfId="0" applyFont="1" applyFill="1" applyBorder="1" applyAlignment="1" applyProtection="1">
      <alignment horizontal="center"/>
      <protection locked="0"/>
    </xf>
    <xf numFmtId="0" fontId="0" fillId="26" borderId="1" xfId="0" applyFill="1" applyBorder="1" applyAlignment="1" applyProtection="1">
      <alignment horizontal="center"/>
      <protection locked="0"/>
    </xf>
    <xf numFmtId="1" fontId="0" fillId="3" borderId="1" xfId="0" applyNumberFormat="1" applyFill="1" applyBorder="1"/>
    <xf numFmtId="171" fontId="0" fillId="3" borderId="1" xfId="0" applyNumberFormat="1" applyFill="1" applyBorder="1"/>
    <xf numFmtId="169" fontId="0" fillId="3" borderId="1" xfId="1" applyNumberFormat="1" applyFont="1" applyFill="1" applyBorder="1" applyProtection="1"/>
    <xf numFmtId="170" fontId="0" fillId="3" borderId="1" xfId="0" applyNumberFormat="1" applyFill="1" applyBorder="1"/>
    <xf numFmtId="0" fontId="0" fillId="3" borderId="0" xfId="0" applyFill="1"/>
    <xf numFmtId="175" fontId="2" fillId="3" borderId="2" xfId="0" applyNumberFormat="1" applyFont="1" applyFill="1" applyBorder="1"/>
    <xf numFmtId="175" fontId="2" fillId="3" borderId="1" xfId="0" applyNumberFormat="1" applyFont="1" applyFill="1" applyBorder="1"/>
    <xf numFmtId="0" fontId="0" fillId="26" borderId="1" xfId="0" applyFill="1" applyBorder="1" applyAlignment="1">
      <alignment horizontal="right"/>
    </xf>
    <xf numFmtId="0" fontId="24" fillId="27" borderId="1" xfId="0" applyFont="1" applyFill="1" applyBorder="1" applyProtection="1">
      <protection locked="0"/>
    </xf>
    <xf numFmtId="0" fontId="24" fillId="9" borderId="1" xfId="0" applyFont="1" applyFill="1" applyBorder="1" applyProtection="1">
      <protection locked="0"/>
    </xf>
    <xf numFmtId="0" fontId="25" fillId="9" borderId="1" xfId="0" applyFont="1" applyFill="1" applyBorder="1" applyProtection="1">
      <protection locked="0"/>
    </xf>
    <xf numFmtId="168" fontId="24" fillId="9" borderId="1" xfId="1" applyNumberFormat="1" applyFont="1" applyFill="1" applyBorder="1" applyProtection="1">
      <protection locked="0"/>
    </xf>
    <xf numFmtId="0" fontId="25" fillId="9" borderId="1" xfId="1" applyNumberFormat="1" applyFont="1" applyFill="1" applyBorder="1" applyProtection="1">
      <protection locked="0"/>
    </xf>
    <xf numFmtId="0" fontId="27" fillId="21" borderId="1" xfId="0" applyFont="1" applyFill="1" applyBorder="1" applyAlignment="1" applyProtection="1">
      <alignment horizontal="center"/>
      <protection locked="0"/>
    </xf>
    <xf numFmtId="0" fontId="25" fillId="26" borderId="1" xfId="1" applyNumberFormat="1" applyFont="1" applyFill="1" applyBorder="1" applyProtection="1">
      <protection locked="0"/>
    </xf>
    <xf numFmtId="171" fontId="25" fillId="9" borderId="5" xfId="0" applyNumberFormat="1" applyFont="1" applyFill="1" applyBorder="1" applyAlignment="1" applyProtection="1">
      <alignment horizontal="center"/>
      <protection locked="0"/>
    </xf>
    <xf numFmtId="171" fontId="25" fillId="9" borderId="9" xfId="0" applyNumberFormat="1" applyFont="1" applyFill="1" applyBorder="1" applyAlignment="1" applyProtection="1">
      <alignment horizontal="center"/>
      <protection locked="0"/>
    </xf>
    <xf numFmtId="167" fontId="25" fillId="9" borderId="9" xfId="0" applyNumberFormat="1" applyFont="1" applyFill="1" applyBorder="1" applyAlignment="1" applyProtection="1">
      <alignment horizontal="center"/>
      <protection locked="0"/>
    </xf>
    <xf numFmtId="171" fontId="25" fillId="9" borderId="8" xfId="0" applyNumberFormat="1" applyFont="1" applyFill="1" applyBorder="1" applyAlignment="1" applyProtection="1">
      <alignment horizontal="center"/>
      <protection locked="0"/>
    </xf>
    <xf numFmtId="171" fontId="25" fillId="9" borderId="10" xfId="0" applyNumberFormat="1" applyFont="1" applyFill="1" applyBorder="1" applyAlignment="1" applyProtection="1">
      <alignment horizontal="center"/>
      <protection locked="0"/>
    </xf>
    <xf numFmtId="167" fontId="25" fillId="9" borderId="10" xfId="0" applyNumberFormat="1" applyFont="1" applyFill="1" applyBorder="1" applyAlignment="1" applyProtection="1">
      <alignment horizontal="center"/>
      <protection locked="0"/>
    </xf>
    <xf numFmtId="0" fontId="25" fillId="9" borderId="10" xfId="0" applyFont="1" applyFill="1" applyBorder="1" applyAlignment="1" applyProtection="1">
      <alignment horizontal="center"/>
      <protection locked="0"/>
    </xf>
    <xf numFmtId="0" fontId="25" fillId="9" borderId="1" xfId="0" applyFont="1" applyFill="1" applyBorder="1" applyAlignment="1" applyProtection="1">
      <alignment horizontal="center"/>
      <protection locked="0"/>
    </xf>
    <xf numFmtId="0" fontId="25" fillId="9" borderId="45" xfId="0" applyFont="1" applyFill="1" applyBorder="1" applyAlignment="1" applyProtection="1">
      <alignment horizontal="center"/>
      <protection locked="0"/>
    </xf>
    <xf numFmtId="1" fontId="25" fillId="9" borderId="28" xfId="0" applyNumberFormat="1" applyFont="1" applyFill="1" applyBorder="1" applyAlignment="1" applyProtection="1">
      <alignment horizontal="center"/>
      <protection locked="0"/>
    </xf>
    <xf numFmtId="173" fontId="25" fillId="27" borderId="53" xfId="1" applyNumberFormat="1" applyFont="1" applyFill="1" applyBorder="1" applyAlignment="1" applyProtection="1">
      <alignment horizontal="center"/>
      <protection locked="0"/>
    </xf>
    <xf numFmtId="1" fontId="25" fillId="9" borderId="24" xfId="0" applyNumberFormat="1" applyFont="1" applyFill="1" applyBorder="1" applyAlignment="1" applyProtection="1">
      <alignment horizontal="center"/>
      <protection locked="0"/>
    </xf>
    <xf numFmtId="173" fontId="25" fillId="27" borderId="54" xfId="1" applyNumberFormat="1" applyFont="1" applyFill="1" applyBorder="1" applyAlignment="1" applyProtection="1">
      <alignment horizontal="center"/>
      <protection locked="0"/>
    </xf>
    <xf numFmtId="1" fontId="25" fillId="9" borderId="55" xfId="0" applyNumberFormat="1" applyFont="1" applyFill="1" applyBorder="1" applyAlignment="1" applyProtection="1">
      <alignment horizontal="center"/>
      <protection locked="0"/>
    </xf>
    <xf numFmtId="1" fontId="25" fillId="9" borderId="56" xfId="0" applyNumberFormat="1" applyFont="1" applyFill="1" applyBorder="1" applyAlignment="1" applyProtection="1">
      <alignment horizontal="center"/>
      <protection locked="0"/>
    </xf>
    <xf numFmtId="173" fontId="25" fillId="27" borderId="57" xfId="1" applyNumberFormat="1" applyFont="1" applyFill="1" applyBorder="1" applyAlignment="1" applyProtection="1">
      <alignment horizontal="center"/>
      <protection locked="0"/>
    </xf>
    <xf numFmtId="0" fontId="0" fillId="9" borderId="6" xfId="0" applyFill="1" applyBorder="1" applyAlignment="1" applyProtection="1">
      <alignment horizontal="center"/>
      <protection locked="0"/>
    </xf>
    <xf numFmtId="0" fontId="0" fillId="9" borderId="9" xfId="0" applyFill="1" applyBorder="1" applyAlignment="1" applyProtection="1">
      <alignment horizontal="center"/>
      <protection locked="0"/>
    </xf>
    <xf numFmtId="0" fontId="0" fillId="9" borderId="10" xfId="0" applyFill="1" applyBorder="1" applyAlignment="1" applyProtection="1">
      <alignment horizontal="center"/>
      <protection locked="0"/>
    </xf>
    <xf numFmtId="0" fontId="26" fillId="21" borderId="19" xfId="0" applyFont="1" applyFill="1" applyBorder="1" applyAlignment="1" applyProtection="1">
      <alignment horizontal="center"/>
      <protection locked="0"/>
    </xf>
    <xf numFmtId="0" fontId="0" fillId="21" borderId="42" xfId="0" applyFill="1" applyBorder="1" applyAlignment="1" applyProtection="1">
      <alignment horizontal="right"/>
      <protection locked="0"/>
    </xf>
    <xf numFmtId="0" fontId="0" fillId="0" borderId="1" xfId="0" applyBorder="1" applyAlignment="1">
      <alignment horizontal="center" vertical="center"/>
    </xf>
    <xf numFmtId="0" fontId="2" fillId="12" borderId="1" xfId="0" applyFont="1" applyFill="1" applyBorder="1" applyAlignment="1">
      <alignment horizontal="center" vertical="center" wrapText="1"/>
    </xf>
    <xf numFmtId="171" fontId="0" fillId="3" borderId="1" xfId="0" applyNumberFormat="1" applyFill="1" applyBorder="1" applyAlignment="1">
      <alignment horizontal="center"/>
    </xf>
    <xf numFmtId="0" fontId="2" fillId="2" borderId="20" xfId="0" applyFont="1" applyFill="1" applyBorder="1" applyAlignment="1">
      <alignment wrapText="1"/>
    </xf>
    <xf numFmtId="166" fontId="0" fillId="2" borderId="1" xfId="0" applyNumberFormat="1" applyFill="1" applyBorder="1"/>
    <xf numFmtId="0" fontId="0" fillId="2" borderId="2" xfId="0" applyFill="1" applyBorder="1" applyAlignment="1">
      <alignment horizontal="center"/>
    </xf>
    <xf numFmtId="0" fontId="2" fillId="3" borderId="20" xfId="0" applyFont="1" applyFill="1" applyBorder="1" applyAlignment="1">
      <alignment wrapText="1"/>
    </xf>
    <xf numFmtId="166" fontId="0" fillId="3" borderId="1" xfId="0" applyNumberFormat="1" applyFill="1" applyBorder="1"/>
    <xf numFmtId="0" fontId="0" fillId="3" borderId="2" xfId="0" applyFill="1" applyBorder="1" applyAlignment="1">
      <alignment horizontal="center"/>
    </xf>
    <xf numFmtId="1" fontId="0" fillId="4" borderId="1" xfId="0" applyNumberFormat="1" applyFill="1" applyBorder="1"/>
    <xf numFmtId="0" fontId="2" fillId="26" borderId="1" xfId="0" applyFont="1" applyFill="1" applyBorder="1"/>
    <xf numFmtId="2" fontId="0" fillId="3" borderId="1" xfId="0" applyNumberFormat="1" applyFill="1" applyBorder="1"/>
    <xf numFmtId="170" fontId="2" fillId="3" borderId="1" xfId="0" applyNumberFormat="1" applyFont="1" applyFill="1" applyBorder="1"/>
    <xf numFmtId="0" fontId="62" fillId="0" borderId="0" xfId="0" applyFont="1" applyAlignment="1">
      <alignment horizontal="center" vertical="center"/>
    </xf>
    <xf numFmtId="0" fontId="63" fillId="0" borderId="0" xfId="0" applyFont="1" applyAlignment="1">
      <alignment horizontal="center" vertical="center"/>
    </xf>
    <xf numFmtId="0" fontId="64" fillId="0" borderId="0" xfId="0" applyFont="1" applyAlignment="1">
      <alignment horizontal="center" vertical="center"/>
    </xf>
    <xf numFmtId="0" fontId="61" fillId="0" borderId="0" xfId="0" applyFont="1" applyAlignment="1">
      <alignment vertical="center"/>
    </xf>
    <xf numFmtId="0" fontId="65" fillId="0" borderId="0" xfId="0" applyFont="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65" fillId="0" borderId="0" xfId="0" applyFont="1" applyAlignment="1">
      <alignment vertical="center"/>
    </xf>
    <xf numFmtId="0" fontId="68" fillId="0" borderId="0" xfId="0" applyFont="1" applyAlignment="1">
      <alignment vertical="center"/>
    </xf>
    <xf numFmtId="0" fontId="61" fillId="0" borderId="0" xfId="0" applyFont="1" applyAlignment="1">
      <alignment horizontal="left" vertical="center" indent="5"/>
    </xf>
    <xf numFmtId="0" fontId="69" fillId="0" borderId="0" xfId="0" applyFont="1" applyAlignment="1">
      <alignment vertical="center"/>
    </xf>
    <xf numFmtId="0" fontId="70" fillId="28" borderId="64" xfId="0" applyFont="1" applyFill="1" applyBorder="1" applyAlignment="1">
      <alignment vertical="center" wrapText="1"/>
    </xf>
    <xf numFmtId="0" fontId="70" fillId="28" borderId="65" xfId="0" applyFont="1" applyFill="1" applyBorder="1" applyAlignment="1">
      <alignment vertical="center" wrapText="1"/>
    </xf>
    <xf numFmtId="0" fontId="71" fillId="29" borderId="66" xfId="0" applyFont="1" applyFill="1" applyBorder="1" applyAlignment="1">
      <alignment vertical="center" wrapText="1"/>
    </xf>
    <xf numFmtId="0" fontId="72" fillId="30" borderId="67" xfId="0" applyFont="1" applyFill="1" applyBorder="1" applyAlignment="1">
      <alignment vertical="center" wrapText="1"/>
    </xf>
    <xf numFmtId="0" fontId="73" fillId="29" borderId="67" xfId="0" applyFont="1" applyFill="1" applyBorder="1" applyAlignment="1">
      <alignment vertical="center" wrapText="1"/>
    </xf>
    <xf numFmtId="0" fontId="71" fillId="31" borderId="66" xfId="0" applyFont="1" applyFill="1" applyBorder="1" applyAlignment="1">
      <alignment vertical="center" wrapText="1"/>
    </xf>
    <xf numFmtId="0" fontId="73" fillId="31" borderId="67" xfId="0" applyFont="1" applyFill="1" applyBorder="1" applyAlignment="1">
      <alignment vertical="center" wrapText="1"/>
    </xf>
    <xf numFmtId="0" fontId="73" fillId="29" borderId="66" xfId="0" applyFont="1" applyFill="1" applyBorder="1" applyAlignment="1">
      <alignment horizontal="center" vertical="center" wrapText="1"/>
    </xf>
    <xf numFmtId="0" fontId="73" fillId="29" borderId="67" xfId="0" applyFont="1" applyFill="1" applyBorder="1" applyAlignment="1">
      <alignment horizontal="center" vertical="center" wrapText="1"/>
    </xf>
    <xf numFmtId="0" fontId="74" fillId="32" borderId="67" xfId="0" applyFont="1" applyFill="1" applyBorder="1" applyAlignment="1">
      <alignment vertical="center" wrapText="1"/>
    </xf>
    <xf numFmtId="0" fontId="73" fillId="31" borderId="66" xfId="0" applyFont="1" applyFill="1" applyBorder="1" applyAlignment="1">
      <alignment horizontal="center" vertical="center" wrapText="1"/>
    </xf>
    <xf numFmtId="0" fontId="73" fillId="31" borderId="67" xfId="0" applyFont="1" applyFill="1" applyBorder="1" applyAlignment="1">
      <alignment horizontal="center" vertical="center" wrapText="1"/>
    </xf>
    <xf numFmtId="0" fontId="75" fillId="0" borderId="0" xfId="0" applyFont="1" applyAlignment="1">
      <alignment vertical="center"/>
    </xf>
    <xf numFmtId="10" fontId="73" fillId="29" borderId="67" xfId="0" applyNumberFormat="1" applyFont="1" applyFill="1" applyBorder="1" applyAlignment="1">
      <alignment vertical="center" wrapText="1"/>
    </xf>
    <xf numFmtId="0" fontId="61" fillId="29" borderId="67" xfId="0" applyFont="1" applyFill="1" applyBorder="1" applyAlignment="1">
      <alignment vertical="center" wrapText="1"/>
    </xf>
    <xf numFmtId="0" fontId="76" fillId="31" borderId="67" xfId="0" applyFont="1" applyFill="1" applyBorder="1" applyAlignment="1">
      <alignment vertical="center" wrapText="1"/>
    </xf>
    <xf numFmtId="0" fontId="76" fillId="29" borderId="67" xfId="0" applyFont="1" applyFill="1" applyBorder="1" applyAlignment="1">
      <alignment vertical="center" wrapText="1"/>
    </xf>
    <xf numFmtId="10" fontId="73" fillId="31" borderId="67" xfId="0" applyNumberFormat="1" applyFont="1" applyFill="1" applyBorder="1" applyAlignment="1">
      <alignment vertical="center" wrapText="1"/>
    </xf>
    <xf numFmtId="0" fontId="61" fillId="31" borderId="67" xfId="0" applyFont="1" applyFill="1" applyBorder="1" applyAlignment="1">
      <alignment vertical="center" wrapText="1"/>
    </xf>
    <xf numFmtId="0" fontId="73" fillId="29" borderId="66" xfId="0" applyFont="1" applyFill="1" applyBorder="1" applyAlignment="1">
      <alignment vertical="center" wrapText="1"/>
    </xf>
    <xf numFmtId="0" fontId="77" fillId="29" borderId="67" xfId="0" applyFont="1" applyFill="1" applyBorder="1" applyAlignment="1">
      <alignment vertical="center" wrapText="1"/>
    </xf>
    <xf numFmtId="0" fontId="78" fillId="30" borderId="67" xfId="0" applyFont="1" applyFill="1" applyBorder="1" applyAlignment="1">
      <alignment vertical="center" wrapText="1"/>
    </xf>
    <xf numFmtId="0" fontId="73" fillId="31" borderId="66" xfId="0" applyFont="1" applyFill="1" applyBorder="1" applyAlignment="1">
      <alignment vertical="center" wrapText="1"/>
    </xf>
    <xf numFmtId="0" fontId="77" fillId="31" borderId="67" xfId="0" applyFont="1" applyFill="1" applyBorder="1" applyAlignment="1">
      <alignment vertical="center" wrapText="1"/>
    </xf>
    <xf numFmtId="3" fontId="73" fillId="29" borderId="67" xfId="0" applyNumberFormat="1" applyFont="1" applyFill="1" applyBorder="1" applyAlignment="1">
      <alignment vertical="center" wrapText="1"/>
    </xf>
    <xf numFmtId="3" fontId="73" fillId="31" borderId="67" xfId="0" applyNumberFormat="1" applyFont="1" applyFill="1" applyBorder="1" applyAlignment="1">
      <alignment vertical="center" wrapText="1"/>
    </xf>
    <xf numFmtId="0" fontId="79" fillId="33" borderId="67" xfId="0" applyFont="1" applyFill="1" applyBorder="1" applyAlignment="1">
      <alignment vertical="center" wrapText="1"/>
    </xf>
    <xf numFmtId="0" fontId="80" fillId="29" borderId="66" xfId="0" applyFont="1" applyFill="1" applyBorder="1" applyAlignment="1">
      <alignment vertical="center" wrapText="1"/>
    </xf>
    <xf numFmtId="0" fontId="81" fillId="33" borderId="67" xfId="0" applyFont="1" applyFill="1" applyBorder="1" applyAlignment="1">
      <alignment horizontal="center" vertical="center" wrapText="1"/>
    </xf>
    <xf numFmtId="0" fontId="80" fillId="31" borderId="66" xfId="0" applyFont="1" applyFill="1" applyBorder="1" applyAlignment="1">
      <alignment vertical="center" wrapText="1"/>
    </xf>
    <xf numFmtId="0" fontId="72" fillId="30" borderId="64" xfId="0" applyFont="1" applyFill="1" applyBorder="1" applyAlignment="1">
      <alignment vertical="center" wrapText="1"/>
    </xf>
    <xf numFmtId="0" fontId="72" fillId="30" borderId="65" xfId="0" applyFont="1" applyFill="1" applyBorder="1" applyAlignment="1">
      <alignment vertical="center" wrapText="1"/>
    </xf>
    <xf numFmtId="0" fontId="61" fillId="0" borderId="0" xfId="0" applyFont="1" applyAlignment="1">
      <alignment vertical="center" wrapText="1"/>
    </xf>
    <xf numFmtId="0" fontId="82" fillId="0" borderId="0" xfId="0" applyFont="1" applyAlignment="1">
      <alignment horizontal="center" vertical="center"/>
    </xf>
    <xf numFmtId="0" fontId="2" fillId="0" borderId="0" xfId="0" applyFont="1" applyAlignment="1">
      <alignment horizontal="center"/>
    </xf>
    <xf numFmtId="173" fontId="0" fillId="0" borderId="0" xfId="1" applyNumberFormat="1" applyFont="1" applyAlignment="1">
      <alignment horizontal="center"/>
    </xf>
    <xf numFmtId="171" fontId="48" fillId="0" borderId="0" xfId="0" applyNumberFormat="1" applyFont="1" applyAlignment="1">
      <alignment horizontal="center"/>
    </xf>
    <xf numFmtId="168" fontId="0" fillId="0" borderId="0" xfId="1" applyNumberFormat="1" applyFont="1" applyAlignment="1">
      <alignment horizontal="center"/>
    </xf>
    <xf numFmtId="0" fontId="83" fillId="0" borderId="0" xfId="0" applyFont="1" applyAlignment="1">
      <alignment horizontal="center"/>
    </xf>
    <xf numFmtId="168" fontId="52" fillId="0" borderId="0" xfId="1" applyNumberFormat="1" applyFont="1" applyAlignment="1">
      <alignment horizontal="center"/>
    </xf>
    <xf numFmtId="0" fontId="84" fillId="15" borderId="0" xfId="0" applyFont="1" applyFill="1" applyAlignment="1">
      <alignment horizontal="center"/>
    </xf>
    <xf numFmtId="178" fontId="85" fillId="15" borderId="0" xfId="0" applyNumberFormat="1" applyFont="1" applyFill="1" applyAlignment="1">
      <alignment horizontal="center"/>
    </xf>
    <xf numFmtId="11" fontId="0" fillId="0" borderId="0" xfId="0" applyNumberFormat="1" applyAlignment="1">
      <alignment horizontal="center"/>
    </xf>
    <xf numFmtId="48" fontId="0" fillId="0" borderId="0" xfId="0" applyNumberFormat="1" applyAlignment="1">
      <alignment horizontal="center"/>
    </xf>
    <xf numFmtId="0" fontId="40" fillId="3" borderId="1" xfId="0" applyFont="1" applyFill="1" applyBorder="1" applyAlignment="1">
      <alignment horizontal="right" vertical="center"/>
    </xf>
    <xf numFmtId="0" fontId="39" fillId="0" borderId="0" xfId="0" applyFont="1" applyAlignment="1">
      <alignment horizontal="left" vertical="center" wrapText="1"/>
    </xf>
    <xf numFmtId="0" fontId="0" fillId="0" borderId="0" xfId="0" applyAlignment="1">
      <alignment horizontal="center"/>
    </xf>
    <xf numFmtId="0" fontId="0" fillId="0" borderId="15" xfId="0" applyBorder="1" applyAlignment="1">
      <alignment horizontal="center"/>
    </xf>
    <xf numFmtId="0" fontId="38" fillId="0" borderId="0" xfId="0" applyFont="1" applyAlignment="1">
      <alignment horizontal="center" wrapText="1"/>
    </xf>
    <xf numFmtId="0" fontId="0" fillId="0" borderId="3" xfId="0" applyBorder="1" applyAlignment="1">
      <alignment horizontal="left" wrapText="1"/>
    </xf>
    <xf numFmtId="0" fontId="0" fillId="0" borderId="4" xfId="0" applyBorder="1" applyAlignment="1">
      <alignment horizontal="left" wrapText="1"/>
    </xf>
    <xf numFmtId="0" fontId="0" fillId="0" borderId="0" xfId="0" applyAlignment="1">
      <alignment horizontal="left" wrapText="1"/>
    </xf>
    <xf numFmtId="0" fontId="2" fillId="11" borderId="1" xfId="0" applyFont="1" applyFill="1" applyBorder="1" applyAlignment="1">
      <alignment horizontal="center" wrapText="1"/>
    </xf>
    <xf numFmtId="0" fontId="0" fillId="15" borderId="2" xfId="0" applyFill="1" applyBorder="1" applyAlignment="1">
      <alignment horizontal="left" wrapText="1"/>
    </xf>
    <xf numFmtId="0" fontId="0" fillId="15" borderId="3" xfId="0" applyFill="1" applyBorder="1" applyAlignment="1">
      <alignment horizontal="left" wrapText="1"/>
    </xf>
    <xf numFmtId="0" fontId="0" fillId="15" borderId="4" xfId="0" applyFill="1" applyBorder="1" applyAlignment="1">
      <alignment horizontal="left" wrapText="1"/>
    </xf>
    <xf numFmtId="0" fontId="2" fillId="12" borderId="1" xfId="0" applyFont="1" applyFill="1" applyBorder="1" applyAlignment="1">
      <alignment horizontal="center" wrapText="1"/>
    </xf>
    <xf numFmtId="0" fontId="2" fillId="22" borderId="1" xfId="0" applyFont="1" applyFill="1" applyBorder="1" applyAlignment="1">
      <alignment horizontal="center" wrapText="1"/>
    </xf>
    <xf numFmtId="0" fontId="2" fillId="0" borderId="0" xfId="0" applyFont="1" applyAlignment="1">
      <alignment horizontal="left"/>
    </xf>
    <xf numFmtId="0" fontId="0" fillId="0" borderId="0" xfId="0" applyAlignment="1">
      <alignment horizontal="left"/>
    </xf>
    <xf numFmtId="0" fontId="2" fillId="0" borderId="0" xfId="0" applyFont="1" applyAlignment="1">
      <alignment horizontal="left" wrapText="1"/>
    </xf>
    <xf numFmtId="0" fontId="0" fillId="24" borderId="0" xfId="0" applyFill="1" applyAlignment="1">
      <alignment horizontal="left" wrapText="1"/>
    </xf>
    <xf numFmtId="0" fontId="0" fillId="23" borderId="0" xfId="0" applyFill="1" applyAlignment="1">
      <alignment horizontal="left" wrapText="1"/>
    </xf>
    <xf numFmtId="0" fontId="72" fillId="30" borderId="69" xfId="0" applyFont="1" applyFill="1" applyBorder="1" applyAlignment="1">
      <alignment vertical="center" wrapText="1"/>
    </xf>
    <xf numFmtId="0" fontId="72" fillId="30" borderId="65" xfId="0" applyFont="1" applyFill="1" applyBorder="1" applyAlignment="1">
      <alignment vertical="center" wrapText="1"/>
    </xf>
    <xf numFmtId="0" fontId="71" fillId="31" borderId="69" xfId="0" applyFont="1" applyFill="1" applyBorder="1" applyAlignment="1">
      <alignment vertical="center" wrapText="1"/>
    </xf>
    <xf numFmtId="0" fontId="71" fillId="31" borderId="65" xfId="0" applyFont="1" applyFill="1" applyBorder="1" applyAlignment="1">
      <alignment vertical="center" wrapText="1"/>
    </xf>
    <xf numFmtId="0" fontId="73" fillId="29" borderId="69" xfId="0" applyFont="1" applyFill="1" applyBorder="1" applyAlignment="1">
      <alignment vertical="center" wrapText="1"/>
    </xf>
    <xf numFmtId="0" fontId="73" fillId="29" borderId="68" xfId="0" applyFont="1" applyFill="1" applyBorder="1" applyAlignment="1">
      <alignment vertical="center" wrapText="1"/>
    </xf>
    <xf numFmtId="0" fontId="73" fillId="29" borderId="65" xfId="0" applyFont="1" applyFill="1" applyBorder="1" applyAlignment="1">
      <alignment vertical="center" wrapText="1"/>
    </xf>
    <xf numFmtId="0" fontId="2" fillId="2" borderId="1" xfId="0" applyFont="1" applyFill="1" applyBorder="1" applyAlignment="1">
      <alignment horizontal="center"/>
    </xf>
    <xf numFmtId="0" fontId="6" fillId="3" borderId="2" xfId="0" applyFont="1" applyFill="1" applyBorder="1" applyAlignment="1">
      <alignment horizontal="center"/>
    </xf>
    <xf numFmtId="0" fontId="21" fillId="0" borderId="3" xfId="0" applyFont="1" applyBorder="1"/>
    <xf numFmtId="0" fontId="21" fillId="0" borderId="4" xfId="0" applyFont="1" applyBorder="1"/>
    <xf numFmtId="0" fontId="2" fillId="5" borderId="8" xfId="0" applyFont="1" applyFill="1" applyBorder="1" applyAlignment="1">
      <alignment horizontal="center"/>
    </xf>
    <xf numFmtId="0" fontId="2" fillId="5" borderId="3" xfId="0" applyFont="1" applyFill="1" applyBorder="1" applyAlignment="1">
      <alignment horizontal="center"/>
    </xf>
    <xf numFmtId="0" fontId="2" fillId="5" borderId="4" xfId="0" applyFont="1" applyFill="1" applyBorder="1" applyAlignment="1">
      <alignment horizontal="center"/>
    </xf>
    <xf numFmtId="0" fontId="6" fillId="11" borderId="28" xfId="0" applyFont="1" applyFill="1" applyBorder="1" applyAlignment="1">
      <alignment horizontal="center"/>
    </xf>
    <xf numFmtId="0" fontId="6" fillId="11" borderId="29" xfId="0" applyFont="1" applyFill="1" applyBorder="1" applyAlignment="1">
      <alignment horizontal="center"/>
    </xf>
    <xf numFmtId="0" fontId="6" fillId="11" borderId="10" xfId="0" applyFont="1" applyFill="1" applyBorder="1" applyAlignment="1">
      <alignment horizontal="center"/>
    </xf>
    <xf numFmtId="0" fontId="0" fillId="3" borderId="1" xfId="0" applyFill="1" applyBorder="1" applyAlignment="1" applyProtection="1">
      <alignment horizontal="center"/>
      <protection locked="0"/>
    </xf>
    <xf numFmtId="0" fontId="6" fillId="11" borderId="31" xfId="0" applyFont="1" applyFill="1" applyBorder="1" applyAlignment="1">
      <alignment horizontal="center"/>
    </xf>
    <xf numFmtId="0" fontId="6" fillId="11" borderId="32" xfId="0" applyFont="1" applyFill="1" applyBorder="1" applyAlignment="1">
      <alignment horizontal="center"/>
    </xf>
    <xf numFmtId="0" fontId="6" fillId="11" borderId="33" xfId="0" applyFont="1" applyFill="1" applyBorder="1" applyAlignment="1">
      <alignment horizontal="center"/>
    </xf>
    <xf numFmtId="1" fontId="0" fillId="3" borderId="1" xfId="0" applyNumberFormat="1" applyFill="1" applyBorder="1" applyAlignment="1" applyProtection="1">
      <alignment horizontal="center" wrapText="1"/>
      <protection locked="0"/>
    </xf>
    <xf numFmtId="0" fontId="28" fillId="4" borderId="35" xfId="0" applyFont="1" applyFill="1" applyBorder="1" applyAlignment="1">
      <alignment horizontal="center" vertical="center"/>
    </xf>
    <xf numFmtId="0" fontId="29" fillId="0" borderId="16" xfId="0" applyFont="1" applyBorder="1" applyAlignment="1">
      <alignment vertical="center"/>
    </xf>
    <xf numFmtId="0" fontId="29" fillId="0" borderId="17" xfId="0" applyFont="1" applyBorder="1" applyAlignment="1">
      <alignment vertical="center"/>
    </xf>
    <xf numFmtId="0" fontId="23" fillId="4" borderId="2" xfId="0" applyFont="1" applyFill="1" applyBorder="1" applyAlignment="1">
      <alignment horizontal="center"/>
    </xf>
    <xf numFmtId="0" fontId="23" fillId="4" borderId="3" xfId="0" applyFont="1" applyFill="1" applyBorder="1" applyAlignment="1">
      <alignment horizontal="center"/>
    </xf>
    <xf numFmtId="0" fontId="23" fillId="4" borderId="4" xfId="0" applyFont="1" applyFill="1" applyBorder="1" applyAlignment="1">
      <alignment horizontal="center"/>
    </xf>
    <xf numFmtId="0" fontId="24" fillId="3" borderId="2" xfId="0" applyFont="1"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2" fillId="9" borderId="8" xfId="0" applyFont="1" applyFill="1" applyBorder="1" applyAlignment="1">
      <alignment horizontal="center"/>
    </xf>
    <xf numFmtId="0" fontId="2" fillId="9" borderId="11" xfId="0" applyFont="1" applyFill="1" applyBorder="1" applyAlignment="1">
      <alignment horizontal="center"/>
    </xf>
    <xf numFmtId="0" fontId="2" fillId="9" borderId="14" xfId="0" applyFont="1" applyFill="1" applyBorder="1" applyAlignment="1">
      <alignment horizontal="center"/>
    </xf>
    <xf numFmtId="0" fontId="2" fillId="9" borderId="7" xfId="0" applyFont="1" applyFill="1" applyBorder="1" applyAlignment="1">
      <alignment horizontal="center"/>
    </xf>
    <xf numFmtId="0" fontId="2" fillId="9" borderId="12" xfId="0" applyFont="1" applyFill="1" applyBorder="1" applyAlignment="1">
      <alignment horizontal="center"/>
    </xf>
    <xf numFmtId="0" fontId="2" fillId="9" borderId="13" xfId="0" applyFont="1" applyFill="1" applyBorder="1" applyAlignment="1">
      <alignment horizontal="center"/>
    </xf>
    <xf numFmtId="0" fontId="2" fillId="6" borderId="1" xfId="0" applyFont="1" applyFill="1" applyBorder="1" applyAlignment="1">
      <alignment horizontal="center"/>
    </xf>
    <xf numFmtId="0" fontId="6" fillId="11" borderId="1" xfId="0" applyFont="1" applyFill="1" applyBorder="1" applyAlignment="1">
      <alignment horizontal="center"/>
    </xf>
    <xf numFmtId="0" fontId="0" fillId="0" borderId="55" xfId="0" applyBorder="1" applyAlignment="1">
      <alignment horizontal="center" wrapText="1"/>
    </xf>
    <xf numFmtId="0" fontId="0" fillId="0" borderId="12" xfId="0" applyBorder="1" applyAlignment="1">
      <alignment horizontal="center" wrapText="1"/>
    </xf>
    <xf numFmtId="0" fontId="0" fillId="0" borderId="58" xfId="0" applyBorder="1"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15" borderId="2" xfId="0" applyFill="1" applyBorder="1" applyAlignment="1">
      <alignment horizontal="left"/>
    </xf>
    <xf numFmtId="0" fontId="0" fillId="15" borderId="59" xfId="0" applyFill="1" applyBorder="1" applyAlignment="1">
      <alignment horizontal="left"/>
    </xf>
    <xf numFmtId="0" fontId="0" fillId="15" borderId="8" xfId="0" applyFill="1" applyBorder="1" applyAlignment="1">
      <alignment horizontal="left"/>
    </xf>
    <xf numFmtId="0" fontId="0" fillId="15" borderId="30" xfId="0" applyFill="1" applyBorder="1" applyAlignment="1">
      <alignment horizontal="left"/>
    </xf>
    <xf numFmtId="0" fontId="2" fillId="3" borderId="2" xfId="0" applyFont="1" applyFill="1" applyBorder="1" applyAlignment="1">
      <alignment horizontal="center"/>
    </xf>
    <xf numFmtId="0" fontId="2" fillId="3" borderId="4" xfId="0" applyFont="1" applyFill="1" applyBorder="1" applyAlignment="1">
      <alignment horizontal="center"/>
    </xf>
    <xf numFmtId="0" fontId="2" fillId="3" borderId="7" xfId="0" applyFont="1" applyFill="1" applyBorder="1" applyAlignment="1">
      <alignment horizontal="center"/>
    </xf>
    <xf numFmtId="0" fontId="2" fillId="3" borderId="12" xfId="0" applyFont="1" applyFill="1" applyBorder="1" applyAlignment="1">
      <alignment horizontal="center"/>
    </xf>
    <xf numFmtId="0" fontId="0" fillId="0" borderId="13" xfId="0" applyBorder="1"/>
    <xf numFmtId="0" fontId="35" fillId="0" borderId="60" xfId="0" applyFont="1" applyBorder="1" applyAlignment="1">
      <alignment horizontal="center" vertical="center" wrapText="1"/>
    </xf>
    <xf numFmtId="0" fontId="35" fillId="0" borderId="16" xfId="0" applyFont="1" applyBorder="1" applyAlignment="1">
      <alignment horizontal="center" vertical="center" wrapText="1"/>
    </xf>
    <xf numFmtId="0" fontId="0" fillId="0" borderId="49" xfId="0" applyBorder="1"/>
    <xf numFmtId="0" fontId="34" fillId="0" borderId="8" xfId="0" applyFont="1" applyBorder="1" applyAlignment="1">
      <alignment horizontal="center"/>
    </xf>
    <xf numFmtId="0" fontId="34" fillId="0" borderId="11" xfId="0" applyFont="1" applyBorder="1" applyAlignment="1">
      <alignment horizontal="center"/>
    </xf>
    <xf numFmtId="0" fontId="0" fillId="0" borderId="14" xfId="0" applyBorder="1"/>
    <xf numFmtId="0" fontId="2" fillId="3" borderId="3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24" fillId="18" borderId="2" xfId="0" applyFont="1" applyFill="1" applyBorder="1" applyAlignment="1">
      <alignment horizontal="center"/>
    </xf>
    <xf numFmtId="0" fontId="24" fillId="18" borderId="3" xfId="0" applyFont="1" applyFill="1" applyBorder="1" applyAlignment="1">
      <alignment horizontal="center"/>
    </xf>
    <xf numFmtId="0" fontId="24" fillId="18" borderId="4" xfId="0" applyFont="1" applyFill="1" applyBorder="1" applyAlignment="1">
      <alignment horizontal="center"/>
    </xf>
    <xf numFmtId="0" fontId="24" fillId="27" borderId="2" xfId="0" applyFont="1" applyFill="1" applyBorder="1" applyAlignment="1" applyProtection="1">
      <alignment horizontal="right"/>
      <protection locked="0"/>
    </xf>
    <xf numFmtId="0" fontId="24" fillId="27" borderId="4" xfId="0" applyFont="1" applyFill="1" applyBorder="1" applyAlignment="1" applyProtection="1">
      <alignment horizontal="right"/>
      <protection locked="0"/>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37" fillId="3" borderId="7" xfId="0" applyFont="1" applyFill="1" applyBorder="1" applyAlignment="1">
      <alignment horizontal="center"/>
    </xf>
    <xf numFmtId="0" fontId="37" fillId="3" borderId="12" xfId="0" applyFont="1" applyFill="1" applyBorder="1" applyAlignment="1">
      <alignment horizontal="center"/>
    </xf>
    <xf numFmtId="0" fontId="37" fillId="3" borderId="13" xfId="0" applyFont="1" applyFill="1" applyBorder="1" applyAlignment="1">
      <alignment horizontal="center"/>
    </xf>
    <xf numFmtId="0" fontId="2" fillId="3" borderId="13" xfId="0" applyFont="1" applyFill="1" applyBorder="1" applyAlignment="1">
      <alignment horizontal="center"/>
    </xf>
    <xf numFmtId="0" fontId="2" fillId="3" borderId="5" xfId="0" applyFont="1" applyFill="1" applyBorder="1" applyAlignment="1">
      <alignment horizontal="center"/>
    </xf>
    <xf numFmtId="0" fontId="2" fillId="3" borderId="0" xfId="0" applyFont="1" applyFill="1" applyAlignment="1">
      <alignment horizontal="center"/>
    </xf>
    <xf numFmtId="0" fontId="2" fillId="3" borderId="15" xfId="0" applyFont="1" applyFill="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4" fillId="9" borderId="10" xfId="0" applyFont="1" applyFill="1" applyBorder="1" applyAlignment="1" applyProtection="1">
      <alignment horizontal="right"/>
      <protection locked="0"/>
    </xf>
    <xf numFmtId="0" fontId="24" fillId="0" borderId="10" xfId="0" applyFont="1" applyBorder="1" applyProtection="1">
      <protection locked="0"/>
    </xf>
    <xf numFmtId="0" fontId="2" fillId="2" borderId="1" xfId="0" applyFont="1" applyFill="1" applyBorder="1" applyAlignment="1">
      <alignment horizontal="center" wrapText="1"/>
    </xf>
    <xf numFmtId="0" fontId="2" fillId="7" borderId="6" xfId="0" applyFont="1" applyFill="1" applyBorder="1" applyAlignment="1">
      <alignment horizontal="center"/>
    </xf>
    <xf numFmtId="0" fontId="24" fillId="9" borderId="1" xfId="0" applyFont="1" applyFill="1" applyBorder="1" applyAlignment="1" applyProtection="1">
      <alignment horizontal="right"/>
      <protection locked="0"/>
    </xf>
    <xf numFmtId="0" fontId="24" fillId="0" borderId="1" xfId="0" applyFont="1" applyBorder="1" applyProtection="1">
      <protection locked="0"/>
    </xf>
    <xf numFmtId="0" fontId="24" fillId="9" borderId="2" xfId="0" applyFont="1" applyFill="1" applyBorder="1" applyAlignment="1" applyProtection="1">
      <alignment horizontal="right"/>
      <protection locked="0"/>
    </xf>
    <xf numFmtId="0" fontId="24" fillId="9" borderId="4" xfId="0" applyFont="1" applyFill="1" applyBorder="1" applyAlignment="1" applyProtection="1">
      <alignment horizontal="right"/>
      <protection locked="0"/>
    </xf>
    <xf numFmtId="0" fontId="24" fillId="27" borderId="1" xfId="0" applyFont="1" applyFill="1" applyBorder="1" applyAlignment="1" applyProtection="1">
      <alignment horizontal="right"/>
      <protection locked="0"/>
    </xf>
    <xf numFmtId="0" fontId="24" fillId="27" borderId="1" xfId="0" applyFont="1" applyFill="1" applyBorder="1" applyProtection="1">
      <protection locked="0"/>
    </xf>
    <xf numFmtId="14" fontId="24" fillId="27" borderId="1" xfId="0" applyNumberFormat="1" applyFont="1" applyFill="1" applyBorder="1" applyAlignment="1" applyProtection="1">
      <alignment horizontal="right"/>
      <protection locked="0"/>
    </xf>
    <xf numFmtId="0" fontId="0" fillId="15" borderId="35" xfId="0" applyFill="1" applyBorder="1" applyAlignment="1">
      <alignment horizontal="center"/>
    </xf>
    <xf numFmtId="0" fontId="0" fillId="15" borderId="16" xfId="0" applyFill="1" applyBorder="1" applyAlignment="1">
      <alignment horizontal="center"/>
    </xf>
    <xf numFmtId="0" fontId="0" fillId="15" borderId="17" xfId="0" applyFill="1" applyBorder="1" applyAlignment="1">
      <alignment horizontal="center"/>
    </xf>
    <xf numFmtId="0" fontId="0" fillId="0" borderId="2" xfId="0" applyBorder="1"/>
    <xf numFmtId="0" fontId="0" fillId="0" borderId="3" xfId="0" applyBorder="1"/>
    <xf numFmtId="0" fontId="6" fillId="12" borderId="1" xfId="0" applyFont="1" applyFill="1" applyBorder="1" applyAlignment="1">
      <alignment horizontal="center"/>
    </xf>
    <xf numFmtId="0" fontId="2" fillId="5" borderId="2" xfId="0" applyFont="1" applyFill="1" applyBorder="1" applyAlignment="1">
      <alignment horizontal="center"/>
    </xf>
    <xf numFmtId="0" fontId="2" fillId="6" borderId="6" xfId="0" applyFont="1" applyFill="1" applyBorder="1" applyAlignment="1">
      <alignment horizontal="center"/>
    </xf>
    <xf numFmtId="0" fontId="35" fillId="0" borderId="7" xfId="0" applyFont="1" applyBorder="1" applyAlignment="1">
      <alignment horizontal="center" wrapText="1"/>
    </xf>
    <xf numFmtId="0" fontId="35" fillId="0" borderId="5" xfId="0" applyFont="1" applyBorder="1" applyAlignment="1">
      <alignment horizontal="center" wrapText="1"/>
    </xf>
    <xf numFmtId="0" fontId="35" fillId="0" borderId="8" xfId="0" applyFont="1" applyBorder="1" applyAlignment="1">
      <alignment horizontal="center" wrapText="1"/>
    </xf>
    <xf numFmtId="0" fontId="2" fillId="7" borderId="9" xfId="0" applyFont="1" applyFill="1" applyBorder="1" applyAlignment="1">
      <alignment horizontal="center"/>
    </xf>
    <xf numFmtId="0" fontId="2" fillId="2" borderId="2" xfId="0" applyFont="1" applyFill="1" applyBorder="1" applyAlignment="1">
      <alignment horizontal="center" wrapText="1"/>
    </xf>
    <xf numFmtId="0" fontId="2" fillId="2" borderId="4" xfId="0" applyFont="1" applyFill="1" applyBorder="1" applyAlignment="1">
      <alignment horizontal="center" wrapText="1"/>
    </xf>
    <xf numFmtId="0" fontId="2" fillId="25" borderId="2" xfId="4" applyFont="1" applyFill="1" applyBorder="1" applyAlignment="1">
      <alignment horizontal="center" wrapText="1"/>
    </xf>
    <xf numFmtId="0" fontId="2" fillId="25" borderId="3" xfId="4" applyFont="1" applyFill="1" applyBorder="1" applyAlignment="1">
      <alignment horizontal="center" wrapText="1"/>
    </xf>
    <xf numFmtId="14" fontId="0" fillId="3" borderId="7" xfId="0" applyNumberFormat="1"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3" borderId="12" xfId="0" applyFill="1" applyBorder="1" applyAlignment="1" applyProtection="1">
      <alignment horizontal="center" wrapText="1"/>
      <protection locked="0"/>
    </xf>
    <xf numFmtId="0" fontId="0" fillId="3" borderId="4" xfId="0" applyFill="1" applyBorder="1" applyAlignment="1" applyProtection="1">
      <alignment horizontal="center" wrapText="1"/>
      <protection locked="0"/>
    </xf>
    <xf numFmtId="0" fontId="0" fillId="4" borderId="31" xfId="0" applyFill="1" applyBorder="1" applyAlignment="1">
      <alignment horizontal="right"/>
    </xf>
    <xf numFmtId="0" fontId="0" fillId="4" borderId="32" xfId="0" applyFill="1" applyBorder="1"/>
    <xf numFmtId="0" fontId="0" fillId="4" borderId="33" xfId="0" applyFill="1" applyBorder="1"/>
    <xf numFmtId="0" fontId="12" fillId="13" borderId="1" xfId="2" applyFont="1" applyFill="1" applyBorder="1" applyAlignment="1">
      <alignment horizontal="center" vertical="center" wrapText="1"/>
    </xf>
    <xf numFmtId="0" fontId="2" fillId="2" borderId="8" xfId="0" applyFont="1" applyFill="1" applyBorder="1" applyAlignment="1">
      <alignment horizontal="center"/>
    </xf>
    <xf numFmtId="0" fontId="2" fillId="2" borderId="11" xfId="0" applyFont="1" applyFill="1" applyBorder="1" applyAlignment="1">
      <alignment horizontal="center"/>
    </xf>
    <xf numFmtId="0" fontId="2" fillId="4" borderId="2" xfId="0" applyFont="1" applyFill="1" applyBorder="1" applyAlignment="1">
      <alignment horizontal="center"/>
    </xf>
    <xf numFmtId="0" fontId="2" fillId="4" borderId="4" xfId="0" applyFont="1" applyFill="1" applyBorder="1" applyAlignment="1">
      <alignment horizontal="center"/>
    </xf>
    <xf numFmtId="2" fontId="14" fillId="14" borderId="1" xfId="2" applyNumberFormat="1" applyFont="1" applyFill="1" applyBorder="1" applyAlignment="1">
      <alignment horizontal="center"/>
    </xf>
    <xf numFmtId="0" fontId="32" fillId="19" borderId="35" xfId="0" applyFont="1" applyFill="1" applyBorder="1" applyAlignment="1">
      <alignment horizontal="center" vertical="center"/>
    </xf>
    <xf numFmtId="0" fontId="32" fillId="19" borderId="16" xfId="0" applyFont="1" applyFill="1" applyBorder="1" applyAlignment="1">
      <alignment horizontal="center" vertical="center"/>
    </xf>
    <xf numFmtId="0" fontId="32" fillId="19" borderId="17" xfId="0" applyFont="1" applyFill="1" applyBorder="1" applyAlignment="1">
      <alignment horizontal="center" vertical="center"/>
    </xf>
    <xf numFmtId="0" fontId="6" fillId="8" borderId="5" xfId="0" applyFont="1" applyFill="1" applyBorder="1" applyAlignment="1">
      <alignment horizontal="center"/>
    </xf>
    <xf numFmtId="0" fontId="6" fillId="8" borderId="0" xfId="0" applyFont="1" applyFill="1" applyAlignment="1">
      <alignment horizontal="center"/>
    </xf>
    <xf numFmtId="0" fontId="32" fillId="19" borderId="12" xfId="0" applyFont="1" applyFill="1" applyBorder="1" applyAlignment="1">
      <alignment horizontal="center" vertical="center"/>
    </xf>
    <xf numFmtId="0" fontId="2" fillId="2" borderId="7"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4" xfId="0" applyFont="1" applyFill="1" applyBorder="1" applyAlignment="1">
      <alignment horizontal="center" vertical="center" wrapText="1"/>
    </xf>
    <xf numFmtId="14" fontId="0" fillId="3" borderId="7" xfId="0" applyNumberFormat="1" applyFill="1" applyBorder="1" applyAlignment="1" applyProtection="1">
      <alignment horizontal="center" vertical="center" wrapText="1"/>
      <protection locked="0"/>
    </xf>
    <xf numFmtId="14" fontId="0" fillId="3" borderId="12" xfId="0" applyNumberFormat="1" applyFill="1" applyBorder="1" applyAlignment="1" applyProtection="1">
      <alignment horizontal="center" vertical="center" wrapText="1"/>
      <protection locked="0"/>
    </xf>
    <xf numFmtId="14" fontId="0" fillId="3" borderId="13" xfId="0" applyNumberFormat="1" applyFill="1" applyBorder="1" applyAlignment="1" applyProtection="1">
      <alignment horizontal="center" vertical="center" wrapText="1"/>
      <protection locked="0"/>
    </xf>
    <xf numFmtId="14" fontId="0" fillId="3" borderId="8" xfId="0" applyNumberFormat="1" applyFill="1" applyBorder="1" applyAlignment="1" applyProtection="1">
      <alignment horizontal="center" vertical="center" wrapText="1"/>
      <protection locked="0"/>
    </xf>
    <xf numFmtId="14" fontId="0" fillId="3" borderId="11" xfId="0" applyNumberFormat="1" applyFill="1" applyBorder="1" applyAlignment="1" applyProtection="1">
      <alignment horizontal="center" vertical="center" wrapText="1"/>
      <protection locked="0"/>
    </xf>
    <xf numFmtId="14" fontId="0" fillId="3" borderId="14" xfId="0" applyNumberFormat="1" applyFill="1" applyBorder="1" applyAlignment="1" applyProtection="1">
      <alignment horizontal="center" vertical="center" wrapText="1"/>
      <protection locked="0"/>
    </xf>
    <xf numFmtId="0" fontId="0" fillId="3" borderId="2" xfId="0" applyFill="1" applyBorder="1" applyAlignment="1" applyProtection="1">
      <alignment horizontal="center"/>
      <protection locked="0"/>
    </xf>
    <xf numFmtId="0" fontId="0" fillId="3" borderId="3"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2" fillId="0" borderId="0" xfId="0" applyFont="1" applyAlignment="1">
      <alignment horizontal="center"/>
    </xf>
    <xf numFmtId="0" fontId="0" fillId="0" borderId="35" xfId="0" applyBorder="1" applyAlignment="1">
      <alignment horizontal="right"/>
    </xf>
    <xf numFmtId="0" fontId="0" fillId="0" borderId="16" xfId="0" applyBorder="1" applyAlignment="1">
      <alignment horizontal="right"/>
    </xf>
    <xf numFmtId="0" fontId="0" fillId="0" borderId="17" xfId="0" applyBorder="1" applyAlignment="1">
      <alignment horizontal="right"/>
    </xf>
    <xf numFmtId="0" fontId="0" fillId="0" borderId="31" xfId="0" applyBorder="1" applyAlignment="1">
      <alignment horizontal="right"/>
    </xf>
    <xf numFmtId="0" fontId="0" fillId="0" borderId="32" xfId="0" applyBorder="1" applyAlignment="1">
      <alignment horizontal="right"/>
    </xf>
    <xf numFmtId="0" fontId="0" fillId="0" borderId="33" xfId="0" applyBorder="1" applyAlignment="1">
      <alignment horizontal="right"/>
    </xf>
    <xf numFmtId="0" fontId="6" fillId="8" borderId="1" xfId="0" applyFont="1" applyFill="1" applyBorder="1" applyAlignment="1">
      <alignment horizontal="center"/>
    </xf>
    <xf numFmtId="14" fontId="0" fillId="3" borderId="1" xfId="0" applyNumberFormat="1" applyFill="1" applyBorder="1" applyAlignment="1" applyProtection="1">
      <alignment horizontal="center" wrapText="1"/>
      <protection locked="0"/>
    </xf>
    <xf numFmtId="0" fontId="0" fillId="3" borderId="1" xfId="0" applyFill="1" applyBorder="1" applyAlignment="1" applyProtection="1">
      <alignment horizontal="center" wrapText="1"/>
      <protection locked="0"/>
    </xf>
    <xf numFmtId="0" fontId="2" fillId="7" borderId="7" xfId="0" applyFont="1" applyFill="1" applyBorder="1" applyAlignment="1">
      <alignment horizontal="center"/>
    </xf>
    <xf numFmtId="0" fontId="2" fillId="7" borderId="12" xfId="0" applyFont="1" applyFill="1" applyBorder="1" applyAlignment="1">
      <alignment horizontal="center"/>
    </xf>
    <xf numFmtId="0" fontId="2" fillId="7" borderId="13" xfId="0" applyFont="1" applyFill="1" applyBorder="1" applyAlignment="1">
      <alignment horizontal="center"/>
    </xf>
    <xf numFmtId="0" fontId="2" fillId="2" borderId="2" xfId="0" applyFont="1" applyFill="1" applyBorder="1" applyAlignment="1">
      <alignment horizontal="right"/>
    </xf>
    <xf numFmtId="0" fontId="2" fillId="2" borderId="3" xfId="0" applyFont="1" applyFill="1" applyBorder="1" applyAlignment="1">
      <alignment horizontal="right"/>
    </xf>
    <xf numFmtId="0" fontId="2" fillId="2" borderId="4" xfId="0" applyFont="1" applyFill="1" applyBorder="1" applyAlignment="1">
      <alignment horizontal="right"/>
    </xf>
    <xf numFmtId="0" fontId="2" fillId="2" borderId="2" xfId="6" applyFont="1" applyFill="1" applyBorder="1" applyAlignment="1">
      <alignment horizontal="center"/>
    </xf>
    <xf numFmtId="0" fontId="2" fillId="2" borderId="4" xfId="6" applyFont="1" applyFill="1" applyBorder="1" applyAlignment="1">
      <alignment horizontal="center"/>
    </xf>
    <xf numFmtId="0" fontId="11" fillId="10" borderId="31" xfId="0" applyFont="1" applyFill="1" applyBorder="1" applyAlignment="1">
      <alignment horizontal="center"/>
    </xf>
    <xf numFmtId="0" fontId="11" fillId="10" borderId="33" xfId="0" applyFont="1" applyFill="1" applyBorder="1" applyAlignment="1">
      <alignment horizontal="center"/>
    </xf>
    <xf numFmtId="171" fontId="11" fillId="10" borderId="31" xfId="0" applyNumberFormat="1" applyFont="1" applyFill="1" applyBorder="1" applyAlignment="1">
      <alignment horizontal="center" vertical="center"/>
    </xf>
    <xf numFmtId="171" fontId="11" fillId="10" borderId="33" xfId="0" applyNumberFormat="1" applyFont="1" applyFill="1" applyBorder="1" applyAlignment="1">
      <alignment horizontal="center" vertical="center"/>
    </xf>
    <xf numFmtId="0" fontId="33" fillId="15" borderId="31" xfId="0" applyFont="1" applyFill="1" applyBorder="1" applyAlignment="1">
      <alignment horizontal="center"/>
    </xf>
    <xf numFmtId="0" fontId="33" fillId="15" borderId="32" xfId="0" applyFont="1" applyFill="1" applyBorder="1" applyAlignment="1">
      <alignment horizontal="center"/>
    </xf>
    <xf numFmtId="0" fontId="33" fillId="15" borderId="33" xfId="0" applyFont="1" applyFill="1" applyBorder="1" applyAlignment="1">
      <alignment horizontal="center"/>
    </xf>
    <xf numFmtId="0" fontId="2" fillId="0" borderId="2" xfId="0" applyFont="1" applyBorder="1" applyAlignment="1">
      <alignment horizontal="center"/>
    </xf>
    <xf numFmtId="0" fontId="2" fillId="0" borderId="4" xfId="0" applyFont="1" applyBorder="1" applyAlignment="1">
      <alignment horizontal="center"/>
    </xf>
    <xf numFmtId="0" fontId="10" fillId="10" borderId="61" xfId="0"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10" fillId="10" borderId="61" xfId="0" applyFont="1" applyFill="1" applyBorder="1" applyAlignment="1">
      <alignment horizontal="center" vertical="center"/>
    </xf>
    <xf numFmtId="0" fontId="10" fillId="10" borderId="10" xfId="0" applyFont="1" applyFill="1" applyBorder="1" applyAlignment="1">
      <alignment horizontal="center" vertical="center"/>
    </xf>
    <xf numFmtId="168" fontId="2" fillId="0" borderId="31" xfId="0" applyNumberFormat="1" applyFont="1" applyBorder="1" applyAlignment="1">
      <alignment horizontal="center"/>
    </xf>
    <xf numFmtId="168" fontId="2" fillId="0" borderId="32" xfId="0" applyNumberFormat="1" applyFont="1" applyBorder="1" applyAlignment="1">
      <alignment horizontal="center"/>
    </xf>
    <xf numFmtId="168" fontId="2" fillId="0" borderId="33" xfId="0" applyNumberFormat="1" applyFont="1" applyBorder="1" applyAlignment="1">
      <alignment horizontal="center"/>
    </xf>
    <xf numFmtId="0" fontId="2" fillId="0" borderId="3" xfId="0" applyFont="1" applyBorder="1" applyAlignment="1">
      <alignment horizontal="center"/>
    </xf>
    <xf numFmtId="0" fontId="0" fillId="15" borderId="7" xfId="0" applyFill="1" applyBorder="1" applyAlignment="1">
      <alignment horizontal="left"/>
    </xf>
    <xf numFmtId="0" fontId="0" fillId="15" borderId="12" xfId="0" applyFill="1" applyBorder="1" applyAlignment="1">
      <alignment horizontal="left"/>
    </xf>
    <xf numFmtId="0" fontId="54" fillId="15" borderId="2" xfId="0" applyFont="1" applyFill="1" applyBorder="1" applyAlignment="1">
      <alignment horizontal="center"/>
    </xf>
    <xf numFmtId="0" fontId="54" fillId="15" borderId="3" xfId="0" applyFont="1" applyFill="1" applyBorder="1" applyAlignment="1">
      <alignment horizontal="center"/>
    </xf>
    <xf numFmtId="0" fontId="54" fillId="15" borderId="4" xfId="0" applyFont="1" applyFill="1" applyBorder="1" applyAlignment="1">
      <alignment horizontal="center"/>
    </xf>
    <xf numFmtId="0" fontId="0" fillId="15" borderId="7" xfId="0" applyFill="1" applyBorder="1" applyAlignment="1">
      <alignment horizontal="center"/>
    </xf>
    <xf numFmtId="0" fontId="0" fillId="15" borderId="12" xfId="0" applyFill="1" applyBorder="1" applyAlignment="1">
      <alignment horizontal="center"/>
    </xf>
    <xf numFmtId="0" fontId="0" fillId="15" borderId="5" xfId="0" applyFill="1" applyBorder="1" applyAlignment="1">
      <alignment horizontal="center"/>
    </xf>
    <xf numFmtId="0" fontId="0" fillId="15" borderId="0" xfId="0" applyFill="1" applyAlignment="1">
      <alignment horizontal="center"/>
    </xf>
    <xf numFmtId="0" fontId="54" fillId="15" borderId="0" xfId="0" applyFont="1" applyFill="1" applyAlignment="1">
      <alignment horizontal="center" vertical="center" textRotation="180" wrapText="1"/>
    </xf>
    <xf numFmtId="168" fontId="2" fillId="0" borderId="31" xfId="1" applyNumberFormat="1" applyFont="1" applyFill="1" applyBorder="1" applyAlignment="1">
      <alignment horizontal="center"/>
    </xf>
    <xf numFmtId="168" fontId="2" fillId="0" borderId="32" xfId="1" applyNumberFormat="1" applyFont="1" applyFill="1" applyBorder="1" applyAlignment="1">
      <alignment horizontal="center"/>
    </xf>
    <xf numFmtId="168" fontId="2" fillId="0" borderId="33" xfId="1" applyNumberFormat="1" applyFont="1" applyFill="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0" fillId="9" borderId="0" xfId="0" applyFill="1" applyAlignment="1" applyProtection="1">
      <alignment horizontal="center" vertical="center"/>
      <protection locked="0"/>
    </xf>
    <xf numFmtId="0" fontId="0" fillId="9" borderId="11" xfId="0" applyFill="1" applyBorder="1" applyAlignment="1" applyProtection="1">
      <alignment horizontal="center" vertical="center"/>
      <protection locked="0"/>
    </xf>
    <xf numFmtId="0" fontId="0" fillId="9" borderId="11" xfId="0" applyFill="1" applyBorder="1" applyAlignment="1" applyProtection="1">
      <alignment horizontal="center"/>
      <protection locked="0"/>
    </xf>
    <xf numFmtId="0" fontId="0" fillId="9" borderId="14"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15" xfId="0" applyFill="1" applyBorder="1" applyAlignment="1" applyProtection="1">
      <alignment horizontal="center"/>
      <protection locked="0"/>
    </xf>
    <xf numFmtId="0" fontId="0" fillId="15" borderId="8" xfId="0" applyFill="1" applyBorder="1" applyAlignment="1">
      <alignment horizontal="center"/>
    </xf>
    <xf numFmtId="0" fontId="0" fillId="15" borderId="11" xfId="0" applyFill="1" applyBorder="1" applyAlignment="1">
      <alignment horizontal="center"/>
    </xf>
    <xf numFmtId="0" fontId="0" fillId="9" borderId="12" xfId="0"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2" fillId="0" borderId="24" xfId="0" applyFont="1" applyBorder="1" applyAlignment="1">
      <alignment horizontal="center"/>
    </xf>
    <xf numFmtId="0" fontId="54" fillId="15" borderId="5" xfId="0" applyFont="1" applyFill="1" applyBorder="1" applyAlignment="1">
      <alignment horizontal="center"/>
    </xf>
    <xf numFmtId="0" fontId="54" fillId="15" borderId="0" xfId="0" applyFont="1" applyFill="1" applyAlignment="1">
      <alignment horizontal="center"/>
    </xf>
    <xf numFmtId="0" fontId="30" fillId="0" borderId="0" xfId="0" applyFont="1" applyAlignment="1">
      <alignment horizontal="center" wrapText="1"/>
    </xf>
    <xf numFmtId="170" fontId="30" fillId="15" borderId="0" xfId="0" applyNumberFormat="1" applyFont="1" applyFill="1" applyAlignment="1">
      <alignment horizontal="center" vertical="center" wrapText="1"/>
    </xf>
    <xf numFmtId="0" fontId="48" fillId="0" borderId="24" xfId="0" applyFont="1" applyBorder="1" applyAlignment="1">
      <alignment horizontal="center" vertical="center" wrapText="1"/>
    </xf>
    <xf numFmtId="0" fontId="48" fillId="0" borderId="0" xfId="0" applyFont="1" applyAlignment="1">
      <alignment horizontal="center" vertical="center" wrapText="1"/>
    </xf>
    <xf numFmtId="14" fontId="48" fillId="0" borderId="0" xfId="0" applyNumberFormat="1" applyFont="1" applyAlignment="1">
      <alignment horizontal="center" vertical="center"/>
    </xf>
    <xf numFmtId="14" fontId="48" fillId="0" borderId="19" xfId="0" applyNumberFormat="1" applyFont="1" applyBorder="1" applyAlignment="1">
      <alignment horizontal="center" vertical="center"/>
    </xf>
    <xf numFmtId="0" fontId="57" fillId="0" borderId="35" xfId="0" applyFont="1" applyBorder="1" applyAlignment="1">
      <alignment horizontal="center" vertical="center"/>
    </xf>
    <xf numFmtId="0" fontId="57" fillId="0" borderId="16" xfId="0" applyFont="1" applyBorder="1" applyAlignment="1">
      <alignment horizontal="center" vertical="center"/>
    </xf>
    <xf numFmtId="0" fontId="57" fillId="0" borderId="17" xfId="0" applyFont="1" applyBorder="1" applyAlignment="1">
      <alignment horizontal="center" vertical="center"/>
    </xf>
    <xf numFmtId="0" fontId="57" fillId="0" borderId="24" xfId="0" applyFont="1" applyBorder="1" applyAlignment="1">
      <alignment horizontal="center" vertical="center"/>
    </xf>
    <xf numFmtId="0" fontId="57" fillId="0" borderId="0" xfId="0" applyFont="1" applyAlignment="1">
      <alignment horizontal="center" vertical="center"/>
    </xf>
    <xf numFmtId="0" fontId="57" fillId="0" borderId="19" xfId="0" applyFont="1" applyBorder="1" applyAlignment="1">
      <alignment horizontal="center" vertical="center"/>
    </xf>
    <xf numFmtId="0" fontId="48" fillId="0" borderId="25" xfId="0" applyFont="1" applyBorder="1" applyAlignment="1">
      <alignment horizontal="center" vertical="center"/>
    </xf>
    <xf numFmtId="0" fontId="48" fillId="0" borderId="26" xfId="0" applyFont="1" applyBorder="1" applyAlignment="1">
      <alignment horizontal="center" vertical="center"/>
    </xf>
    <xf numFmtId="0" fontId="48" fillId="0" borderId="27" xfId="0" applyFont="1" applyBorder="1" applyAlignment="1">
      <alignment horizontal="center" vertical="center"/>
    </xf>
    <xf numFmtId="0" fontId="58" fillId="0" borderId="35" xfId="0" applyFont="1" applyBorder="1" applyAlignment="1">
      <alignment horizontal="center" vertical="center"/>
    </xf>
    <xf numFmtId="0" fontId="58" fillId="0" borderId="16" xfId="0" applyFont="1" applyBorder="1" applyAlignment="1">
      <alignment horizontal="center" vertical="center"/>
    </xf>
    <xf numFmtId="0" fontId="58" fillId="0" borderId="17" xfId="0" applyFont="1" applyBorder="1" applyAlignment="1">
      <alignment horizontal="center" vertical="center"/>
    </xf>
    <xf numFmtId="0" fontId="0" fillId="15" borderId="17" xfId="0" applyFill="1" applyBorder="1" applyAlignment="1">
      <alignment horizontal="center" vertical="center"/>
    </xf>
    <xf numFmtId="0" fontId="0" fillId="15" borderId="19" xfId="0" applyFill="1" applyBorder="1" applyAlignment="1">
      <alignment horizontal="center" vertical="center"/>
    </xf>
    <xf numFmtId="0" fontId="0" fillId="15" borderId="27" xfId="0" applyFill="1" applyBorder="1" applyAlignment="1">
      <alignment horizontal="center" vertical="center"/>
    </xf>
    <xf numFmtId="0" fontId="30" fillId="9" borderId="16" xfId="0" applyFont="1" applyFill="1" applyBorder="1" applyAlignment="1">
      <alignment horizontal="center" vertical="center" wrapText="1"/>
    </xf>
    <xf numFmtId="0" fontId="30" fillId="9" borderId="0" xfId="0" applyFont="1" applyFill="1" applyAlignment="1">
      <alignment horizontal="center" vertical="center" wrapText="1"/>
    </xf>
    <xf numFmtId="171" fontId="30" fillId="9" borderId="16" xfId="0" applyNumberFormat="1" applyFont="1" applyFill="1" applyBorder="1" applyAlignment="1">
      <alignment horizontal="center" vertical="center" wrapText="1"/>
    </xf>
    <xf numFmtId="171" fontId="30" fillId="9" borderId="0" xfId="0" applyNumberFormat="1" applyFont="1" applyFill="1" applyAlignment="1">
      <alignment horizontal="center" vertical="center" wrapText="1"/>
    </xf>
    <xf numFmtId="171" fontId="30" fillId="15" borderId="0" xfId="0" applyNumberFormat="1" applyFont="1" applyFill="1" applyAlignment="1">
      <alignment horizontal="center" vertical="center" wrapText="1"/>
    </xf>
    <xf numFmtId="0" fontId="56" fillId="0" borderId="0" xfId="0" applyFont="1" applyAlignment="1">
      <alignment horizontal="center" wrapText="1"/>
    </xf>
    <xf numFmtId="0" fontId="34" fillId="0" borderId="0" xfId="0" applyFont="1" applyAlignment="1">
      <alignment horizontal="center" vertical="top" wrapText="1"/>
    </xf>
    <xf numFmtId="0" fontId="30" fillId="0" borderId="0" xfId="0" applyFont="1" applyAlignment="1">
      <alignment horizontal="center"/>
    </xf>
    <xf numFmtId="172" fontId="30" fillId="9" borderId="17" xfId="0" applyNumberFormat="1" applyFont="1" applyFill="1" applyBorder="1" applyAlignment="1">
      <alignment horizontal="center" vertical="center" wrapText="1"/>
    </xf>
    <xf numFmtId="172" fontId="30" fillId="9" borderId="19" xfId="0" applyNumberFormat="1" applyFont="1" applyFill="1" applyBorder="1" applyAlignment="1">
      <alignment horizontal="center" vertical="center" wrapText="1"/>
    </xf>
    <xf numFmtId="172" fontId="30" fillId="15" borderId="19" xfId="0" applyNumberFormat="1" applyFont="1" applyFill="1" applyBorder="1" applyAlignment="1">
      <alignment horizontal="center" vertical="center" wrapText="1"/>
    </xf>
    <xf numFmtId="2" fontId="30" fillId="9" borderId="16" xfId="0" applyNumberFormat="1" applyFont="1" applyFill="1" applyBorder="1" applyAlignment="1">
      <alignment horizontal="center" vertical="center" wrapText="1"/>
    </xf>
    <xf numFmtId="2" fontId="30" fillId="9" borderId="0" xfId="0" applyNumberFormat="1" applyFont="1" applyFill="1" applyAlignment="1">
      <alignment horizontal="center" vertical="center" wrapText="1"/>
    </xf>
    <xf numFmtId="2" fontId="30" fillId="15" borderId="0" xfId="0" applyNumberFormat="1" applyFont="1" applyFill="1" applyAlignment="1">
      <alignment horizontal="center" vertical="center"/>
    </xf>
    <xf numFmtId="2" fontId="30" fillId="9" borderId="0" xfId="0" applyNumberFormat="1" applyFont="1" applyFill="1" applyAlignment="1">
      <alignment horizontal="center" vertical="center"/>
    </xf>
    <xf numFmtId="2" fontId="30" fillId="15" borderId="0" xfId="0" applyNumberFormat="1" applyFont="1" applyFill="1" applyAlignment="1">
      <alignment horizontal="center" vertical="center" wrapText="1"/>
    </xf>
    <xf numFmtId="172" fontId="30" fillId="9" borderId="27" xfId="0" applyNumberFormat="1" applyFont="1" applyFill="1" applyBorder="1" applyAlignment="1">
      <alignment horizontal="center" vertical="center" wrapText="1"/>
    </xf>
    <xf numFmtId="170" fontId="30" fillId="9" borderId="0" xfId="0" applyNumberFormat="1" applyFont="1" applyFill="1" applyAlignment="1">
      <alignment horizontal="center" vertical="center" wrapText="1"/>
    </xf>
    <xf numFmtId="170" fontId="30" fillId="9" borderId="26" xfId="0" applyNumberFormat="1" applyFont="1" applyFill="1" applyBorder="1" applyAlignment="1">
      <alignment horizontal="center" vertical="center" wrapText="1"/>
    </xf>
    <xf numFmtId="0" fontId="30" fillId="15" borderId="0" xfId="0" applyFont="1" applyFill="1" applyAlignment="1">
      <alignment horizontal="center" vertical="center" wrapText="1"/>
    </xf>
    <xf numFmtId="0" fontId="30" fillId="15" borderId="24" xfId="0" applyFont="1" applyFill="1" applyBorder="1" applyAlignment="1">
      <alignment horizontal="center" vertical="center" wrapText="1"/>
    </xf>
    <xf numFmtId="0" fontId="30" fillId="9" borderId="24"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9" borderId="26" xfId="0" applyFont="1" applyFill="1" applyBorder="1" applyAlignment="1">
      <alignment horizontal="center" vertical="center" wrapText="1"/>
    </xf>
    <xf numFmtId="0" fontId="0" fillId="15" borderId="35" xfId="0" applyFill="1" applyBorder="1" applyAlignment="1">
      <alignment horizontal="center" vertical="center" wrapText="1"/>
    </xf>
    <xf numFmtId="0" fontId="0" fillId="15" borderId="16" xfId="0" applyFill="1" applyBorder="1" applyAlignment="1">
      <alignment horizontal="center" vertical="center" wrapText="1"/>
    </xf>
    <xf numFmtId="0" fontId="0" fillId="15" borderId="24" xfId="0" applyFill="1" applyBorder="1" applyAlignment="1">
      <alignment horizontal="center" vertical="center" wrapText="1"/>
    </xf>
    <xf numFmtId="0" fontId="0" fillId="15" borderId="0" xfId="0" applyFill="1" applyAlignment="1">
      <alignment horizontal="center" vertical="center" wrapText="1"/>
    </xf>
    <xf numFmtId="0" fontId="0" fillId="15" borderId="25" xfId="0" applyFill="1" applyBorder="1" applyAlignment="1">
      <alignment horizontal="center" vertical="center" wrapText="1"/>
    </xf>
    <xf numFmtId="0" fontId="0" fillId="15" borderId="26" xfId="0" applyFill="1" applyBorder="1" applyAlignment="1">
      <alignment horizontal="center" vertical="center" wrapText="1"/>
    </xf>
    <xf numFmtId="0" fontId="30" fillId="9" borderId="35" xfId="0" applyFont="1" applyFill="1" applyBorder="1" applyAlignment="1">
      <alignment horizontal="center" vertical="center" wrapText="1"/>
    </xf>
    <xf numFmtId="170" fontId="30" fillId="9" borderId="16" xfId="0" applyNumberFormat="1" applyFont="1" applyFill="1" applyBorder="1" applyAlignment="1">
      <alignment horizontal="center" vertical="center" wrapText="1"/>
    </xf>
    <xf numFmtId="2" fontId="30" fillId="9" borderId="26" xfId="0" applyNumberFormat="1" applyFont="1" applyFill="1" applyBorder="1" applyAlignment="1">
      <alignment horizontal="center" vertical="center" wrapText="1"/>
    </xf>
    <xf numFmtId="0" fontId="0" fillId="15" borderId="16" xfId="0" applyFill="1" applyBorder="1" applyAlignment="1">
      <alignment horizontal="center" vertical="center"/>
    </xf>
    <xf numFmtId="0" fontId="0" fillId="15" borderId="0" xfId="0" applyFill="1" applyAlignment="1">
      <alignment horizontal="center" vertical="center"/>
    </xf>
    <xf numFmtId="0" fontId="0" fillId="15" borderId="26" xfId="0" applyFill="1" applyBorder="1" applyAlignment="1">
      <alignment horizontal="center" vertical="center"/>
    </xf>
    <xf numFmtId="171" fontId="30" fillId="9" borderId="26" xfId="0" applyNumberFormat="1" applyFont="1" applyFill="1" applyBorder="1" applyAlignment="1">
      <alignment horizontal="center" vertical="center" wrapText="1"/>
    </xf>
    <xf numFmtId="0" fontId="0" fillId="0" borderId="0" xfId="0"/>
    <xf numFmtId="0" fontId="86" fillId="0" borderId="0" xfId="0" applyFont="1" applyAlignment="1">
      <alignment horizontal="center" wrapText="1"/>
    </xf>
    <xf numFmtId="0" fontId="88" fillId="0" borderId="70" xfId="0" applyFont="1" applyBorder="1"/>
    <xf numFmtId="0" fontId="89" fillId="34" borderId="1" xfId="0" applyFont="1" applyFill="1" applyBorder="1" applyAlignment="1">
      <alignment horizontal="center" vertical="top" wrapText="1"/>
    </xf>
    <xf numFmtId="0" fontId="90" fillId="0" borderId="1" xfId="0" applyFont="1" applyBorder="1" applyAlignment="1">
      <alignment horizontal="left" vertical="top" wrapText="1"/>
    </xf>
    <xf numFmtId="0" fontId="90" fillId="0" borderId="1" xfId="0" applyFont="1" applyBorder="1" applyAlignment="1">
      <alignment horizontal="center" vertical="top" wrapText="1"/>
    </xf>
    <xf numFmtId="0" fontId="91" fillId="35" borderId="1" xfId="0" applyFont="1" applyFill="1" applyBorder="1" applyAlignment="1">
      <alignment horizontal="center" vertical="top" wrapText="1"/>
    </xf>
    <xf numFmtId="0" fontId="92" fillId="36" borderId="1" xfId="0" applyFont="1" applyFill="1" applyBorder="1" applyAlignment="1">
      <alignment horizontal="center" wrapText="1"/>
    </xf>
    <xf numFmtId="0" fontId="90" fillId="0" borderId="0" xfId="0" applyFont="1" applyAlignment="1">
      <alignment vertical="top" wrapText="1"/>
    </xf>
    <xf numFmtId="0" fontId="87" fillId="0" borderId="0" xfId="0" applyFont="1" applyAlignment="1">
      <alignment horizontal="center" vertical="top"/>
    </xf>
    <xf numFmtId="0" fontId="90" fillId="37" borderId="1" xfId="0" applyFont="1" applyFill="1" applyBorder="1" applyAlignment="1">
      <alignment vertical="top" wrapText="1"/>
    </xf>
    <xf numFmtId="0" fontId="93" fillId="37" borderId="1" xfId="0" applyFont="1" applyFill="1" applyBorder="1" applyAlignment="1">
      <alignment horizontal="center" vertical="top"/>
    </xf>
    <xf numFmtId="0" fontId="93" fillId="37" borderId="1" xfId="0" applyFont="1" applyFill="1" applyBorder="1" applyAlignment="1">
      <alignment vertical="top" wrapText="1"/>
    </xf>
    <xf numFmtId="0" fontId="92" fillId="38" borderId="1" xfId="0" applyFont="1" applyFill="1" applyBorder="1" applyAlignment="1">
      <alignment horizontal="center" wrapText="1"/>
    </xf>
    <xf numFmtId="0" fontId="0" fillId="36" borderId="1" xfId="0" applyFill="1" applyBorder="1"/>
    <xf numFmtId="0" fontId="92" fillId="36" borderId="1" xfId="0" applyFont="1" applyFill="1" applyBorder="1" applyAlignment="1">
      <alignment horizontal="center"/>
    </xf>
    <xf numFmtId="0" fontId="0" fillId="0" borderId="4" xfId="0" applyBorder="1"/>
    <xf numFmtId="0" fontId="92" fillId="36" borderId="1" xfId="0" applyFont="1" applyFill="1" applyBorder="1" applyAlignment="1">
      <alignment horizontal="right"/>
    </xf>
    <xf numFmtId="0" fontId="90" fillId="35" borderId="1" xfId="0" applyFont="1" applyFill="1" applyBorder="1" applyAlignment="1">
      <alignment vertical="top" wrapText="1"/>
    </xf>
    <xf numFmtId="0" fontId="94" fillId="35" borderId="1" xfId="0" applyFont="1" applyFill="1" applyBorder="1" applyAlignment="1">
      <alignment horizontal="center" vertical="top"/>
    </xf>
    <xf numFmtId="0" fontId="93" fillId="35" borderId="1" xfId="0" applyFont="1" applyFill="1" applyBorder="1" applyAlignment="1">
      <alignment horizontal="center" vertical="top"/>
    </xf>
    <xf numFmtId="0" fontId="93" fillId="35" borderId="1" xfId="0" applyFont="1" applyFill="1" applyBorder="1" applyAlignment="1">
      <alignment vertical="top" wrapText="1"/>
    </xf>
    <xf numFmtId="0" fontId="87" fillId="35" borderId="1" xfId="0" applyFont="1" applyFill="1" applyBorder="1" applyAlignment="1">
      <alignment horizontal="center" vertical="top"/>
    </xf>
    <xf numFmtId="0" fontId="90" fillId="34" borderId="1" xfId="0" applyFont="1" applyFill="1" applyBorder="1" applyAlignment="1">
      <alignment vertical="top" wrapText="1"/>
    </xf>
    <xf numFmtId="0" fontId="95" fillId="34" borderId="1" xfId="0" applyFont="1" applyFill="1" applyBorder="1" applyAlignment="1">
      <alignment horizontal="center" vertical="top"/>
    </xf>
    <xf numFmtId="0" fontId="93" fillId="34" borderId="1" xfId="0" applyFont="1" applyFill="1" applyBorder="1" applyAlignment="1">
      <alignment horizontal="center" vertical="top"/>
    </xf>
    <xf numFmtId="0" fontId="93" fillId="34" borderId="1" xfId="0" applyFont="1" applyFill="1" applyBorder="1" applyAlignment="1">
      <alignment vertical="top" wrapText="1"/>
    </xf>
    <xf numFmtId="0" fontId="87" fillId="34" borderId="1" xfId="0" applyFont="1" applyFill="1" applyBorder="1" applyAlignment="1">
      <alignment horizontal="center" vertical="top"/>
    </xf>
    <xf numFmtId="0" fontId="96" fillId="39" borderId="0" xfId="0" applyFont="1" applyFill="1" applyAlignment="1">
      <alignment horizontal="center"/>
    </xf>
    <xf numFmtId="0" fontId="93" fillId="0" borderId="0" xfId="0" applyFont="1"/>
    <xf numFmtId="0" fontId="87" fillId="0" borderId="0" xfId="0" applyFont="1" applyAlignment="1">
      <alignment horizontal="right"/>
    </xf>
    <xf numFmtId="0" fontId="93" fillId="34" borderId="0" xfId="0" applyFont="1" applyFill="1"/>
    <xf numFmtId="0" fontId="97" fillId="0" borderId="0" xfId="0" applyFont="1" applyAlignment="1">
      <alignment horizontal="center"/>
    </xf>
    <xf numFmtId="0" fontId="98" fillId="0" borderId="0" xfId="0" applyFont="1" applyAlignment="1">
      <alignment horizontal="center"/>
    </xf>
    <xf numFmtId="0" fontId="99" fillId="0" borderId="0" xfId="0" applyFont="1" applyAlignment="1">
      <alignment horizontal="center"/>
    </xf>
  </cellXfs>
  <cellStyles count="8">
    <cellStyle name="Normal" xfId="0" builtinId="0"/>
    <cellStyle name="Normal 2" xfId="2" xr:uid="{00000000-0005-0000-0000-000001000000}"/>
    <cellStyle name="Normal 2 2" xfId="5" xr:uid="{4F5F83F2-921C-4429-B52A-78F25C994BDA}"/>
    <cellStyle name="Normal 3" xfId="4" xr:uid="{995ED5F5-982A-4D94-85B0-773BEF77BE6F}"/>
    <cellStyle name="Normal 5" xfId="6" xr:uid="{7A9B61E8-4C9B-4638-BC12-A4854738B426}"/>
    <cellStyle name="Percent" xfId="1" builtinId="5"/>
    <cellStyle name="Percent 2" xfId="3" xr:uid="{00000000-0005-0000-0000-000003000000}"/>
    <cellStyle name="Percent 3" xfId="7" xr:uid="{040A258C-F953-4EB6-8A74-7A8F803F0DE3}"/>
  </cellStyles>
  <dxfs count="47">
    <dxf>
      <border>
        <left/>
        <right/>
        <top/>
        <bottom/>
        <vertical/>
        <horizontal/>
      </border>
    </dxf>
    <dxf>
      <border>
        <left/>
        <right/>
        <top/>
        <bottom/>
        <vertical/>
        <horizontal/>
      </border>
    </dxf>
    <dxf>
      <border>
        <left/>
        <right/>
        <top/>
        <bottom/>
        <vertical/>
        <horizontal/>
      </border>
    </dxf>
    <dxf>
      <fill>
        <patternFill>
          <bgColor theme="0" tint="-0.14996795556505021"/>
        </patternFill>
      </fill>
      <border>
        <bottom style="thin">
          <color auto="1"/>
        </bottom>
        <vertical/>
        <horizontal/>
      </border>
    </dxf>
    <dxf>
      <border>
        <bottom style="thin">
          <color auto="1"/>
        </bottom>
        <vertical/>
        <horizontal/>
      </border>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9C0006"/>
      </font>
      <fill>
        <patternFill>
          <bgColor rgb="FFFFC7CE"/>
        </patternFill>
      </fill>
    </dxf>
    <dxf>
      <fill>
        <patternFill>
          <bgColor rgb="FFFF0000"/>
        </patternFill>
      </fill>
    </dxf>
    <dxf>
      <font>
        <color theme="0"/>
      </font>
      <fill>
        <patternFill>
          <bgColor theme="0"/>
        </patternFill>
      </fill>
    </dxf>
  </dxfs>
  <tableStyles count="0" defaultTableStyle="TableStyleMedium2" defaultPivotStyle="PivotStyleLight16"/>
  <colors>
    <mruColors>
      <color rgb="FFFFFF99"/>
      <color rgb="FFFFFFCC"/>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eetMetadata" Target="metadata.xml"/><Relationship Id="rId30" Type="http://schemas.openxmlformats.org/officeDocument/2006/relationships/customXml" Target="../customXml/item1.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scatterChart>
        <c:scatterStyle val="lineMarker"/>
        <c:varyColors val="0"/>
        <c:ser>
          <c:idx val="0"/>
          <c:order val="0"/>
          <c:tx>
            <c:v>Regression</c:v>
          </c:tx>
          <c:spPr>
            <a:ln w="22225" cap="rnd">
              <a:solidFill>
                <a:schemeClr val="accent1"/>
              </a:solidFill>
            </a:ln>
            <a:effectLst>
              <a:glow rad="139700">
                <a:schemeClr val="accent1">
                  <a:satMod val="175000"/>
                  <a:alpha val="14000"/>
                </a:schemeClr>
              </a:glow>
            </a:effectLst>
          </c:spPr>
          <c:marker>
            <c:symbol val="circle"/>
            <c:size val="3"/>
            <c:spPr>
              <a:solidFill>
                <a:schemeClr val="accent1">
                  <a:lumMod val="60000"/>
                  <a:lumOff val="40000"/>
                </a:schemeClr>
              </a:solidFill>
              <a:ln>
                <a:noFill/>
              </a:ln>
              <a:effectLst>
                <a:glow rad="63500">
                  <a:schemeClr val="accent1">
                    <a:satMod val="175000"/>
                    <a:alpha val="25000"/>
                  </a:schemeClr>
                </a:glow>
              </a:effectLst>
            </c:spPr>
          </c:marker>
          <c:trendline>
            <c:spPr>
              <a:ln w="25400" cap="rnd">
                <a:solidFill>
                  <a:schemeClr val="accent1">
                    <a:alpha val="50000"/>
                  </a:schemeClr>
                </a:solidFill>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trendlineLbl>
          </c:trendline>
          <c:xVal>
            <c:numRef>
              <c:f>'Uncertainty Worksheet'!$B$69:$B$80</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'Uncertainty Worksheet'!$H$69:$H$80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2120-4966-B66F-A39F83F867BB}"/>
            </c:ext>
          </c:extLst>
        </c:ser>
        <c:dLbls>
          <c:showLegendKey val="0"/>
          <c:showVal val="0"/>
          <c:showCatName val="0"/>
          <c:showSerName val="0"/>
          <c:showPercent val="0"/>
          <c:showBubbleSize val="0"/>
        </c:dLbls>
        <c:axId val="455264208"/>
        <c:axId val="455265384"/>
      </c:scatterChart>
      <c:valAx>
        <c:axId val="455264208"/>
        <c:scaling>
          <c:orientation val="minMax"/>
        </c:scaling>
        <c:delete val="0"/>
        <c:axPos val="b"/>
        <c:majorGridlines>
          <c:spPr>
            <a:ln w="9525" cap="flat" cmpd="sng" algn="ctr">
              <a:solidFill>
                <a:schemeClr val="dk1">
                  <a:lumMod val="65000"/>
                  <a:lumOff val="35000"/>
                  <a:alpha val="75000"/>
                </a:schemeClr>
              </a:solidFill>
              <a:round/>
            </a:ln>
            <a:effectLst/>
          </c:spPr>
        </c:majorGridlines>
        <c:numFmt formatCode="0.00"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5384"/>
        <c:crosses val="autoZero"/>
        <c:crossBetween val="midCat"/>
      </c:valAx>
      <c:valAx>
        <c:axId val="455265384"/>
        <c:scaling>
          <c:orientation val="minMax"/>
        </c:scaling>
        <c:delete val="0"/>
        <c:axPos val="l"/>
        <c:majorGridlines>
          <c:spPr>
            <a:ln w="9525" cap="flat" cmpd="sng" algn="ctr">
              <a:solidFill>
                <a:schemeClr val="dk1">
                  <a:lumMod val="65000"/>
                  <a:lumOff val="35000"/>
                  <a:alpha val="75000"/>
                </a:schemeClr>
              </a:solidFill>
              <a:round/>
            </a:ln>
            <a:effectLst/>
          </c:spPr>
        </c:majorGridlines>
        <c:numFmt formatCode="General" sourceLinked="1"/>
        <c:majorTickMark val="none"/>
        <c:minorTickMark val="none"/>
        <c:tickLblPos val="nextTo"/>
        <c:spPr>
          <a:noFill/>
          <a:ln w="9525" cap="flat" cmpd="sng" algn="ctr">
            <a:solidFill>
              <a:schemeClr val="lt1">
                <a:lumMod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4208"/>
        <c:crosses val="autoZero"/>
        <c:crossBetween val="midCat"/>
      </c:valAx>
      <c:spPr>
        <a:noFill/>
        <a:ln>
          <a:noFill/>
        </a:ln>
        <a:effectLst/>
      </c:spPr>
    </c:plotArea>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n-US"/>
        </a:p>
      </c:txPr>
    </c:title>
    <c:autoTitleDeleted val="0"/>
    <c:plotArea>
      <c:layout>
        <c:manualLayout>
          <c:layoutTarget val="inner"/>
          <c:xMode val="edge"/>
          <c:yMode val="edge"/>
          <c:x val="0.43265985534191642"/>
          <c:y val="9.4285714285714292E-2"/>
          <c:w val="0.49127050828490998"/>
          <c:h val="0.83575896470885069"/>
        </c:manualLayout>
      </c:layout>
      <c:barChart>
        <c:barDir val="bar"/>
        <c:grouping val="clustered"/>
        <c:varyColors val="0"/>
        <c:ser>
          <c:idx val="0"/>
          <c:order val="0"/>
          <c:tx>
            <c:v>Individual Contributors</c:v>
          </c:tx>
          <c:spPr>
            <a:pattFill prst="ltUpDiag">
              <a:fgClr>
                <a:schemeClr val="accent1"/>
              </a:fgClr>
              <a:bgClr>
                <a:schemeClr val="lt1"/>
              </a:bgClr>
            </a:pattFill>
            <a:ln>
              <a:noFill/>
            </a:ln>
            <a:effectLst/>
          </c:spPr>
          <c:invertIfNegative val="0"/>
          <c:cat>
            <c:strRef>
              <c:f>'R &amp; R Between Techs'!$A$7:$A$18</c:f>
              <c:strCache>
                <c:ptCount val="12"/>
                <c:pt idx="0">
                  <c:v>Repeatability Between Techs</c:v>
                </c:pt>
                <c:pt idx="1">
                  <c:v>Reproducibility Between Techs</c:v>
                </c:pt>
                <c:pt idx="3">
                  <c:v>Repeatability</c:v>
                </c:pt>
                <c:pt idx="4">
                  <c:v>ASTM E74 LLF</c:v>
                </c:pt>
                <c:pt idx="5">
                  <c:v>Resolution of UUT</c:v>
                </c:pt>
                <c:pt idx="6">
                  <c:v>Environmental Conditions</c:v>
                </c:pt>
                <c:pt idx="7">
                  <c:v>Stability of  Ref Standard</c:v>
                </c:pt>
                <c:pt idx="8">
                  <c:v>Ref Standard Resolution</c:v>
                </c:pt>
                <c:pt idx="9">
                  <c:v>Non ASTM or ISO 376 (Tolerance,Non-Linearity,SEB)</c:v>
                </c:pt>
                <c:pt idx="10">
                  <c:v>Miscellaneous Error</c:v>
                </c:pt>
                <c:pt idx="11">
                  <c:v>Morehouse CMC</c:v>
                </c:pt>
              </c:strCache>
            </c:strRef>
          </c:cat>
          <c:val>
            <c:numRef>
              <c:f>'R &amp; R Between Techs'!$G$7:$G$18</c:f>
              <c:numCache>
                <c:formatCode>##0.00E+0</c:formatCode>
                <c:ptCount val="12"/>
                <c:pt idx="0">
                  <c:v>0</c:v>
                </c:pt>
                <c:pt idx="1">
                  <c:v>0</c:v>
                </c:pt>
                <c:pt idx="2">
                  <c:v>0</c:v>
                </c:pt>
                <c:pt idx="3">
                  <c:v>0</c:v>
                </c:pt>
                <c:pt idx="4">
                  <c:v>0</c:v>
                </c:pt>
                <c:pt idx="5">
                  <c:v>0</c:v>
                </c:pt>
                <c:pt idx="6">
                  <c:v>0</c:v>
                </c:pt>
                <c:pt idx="7">
                  <c:v>0</c:v>
                </c:pt>
                <c:pt idx="8">
                  <c:v>6.9282032302755096E-3</c:v>
                </c:pt>
                <c:pt idx="9">
                  <c:v>0</c:v>
                </c:pt>
                <c:pt idx="10">
                  <c:v>0</c:v>
                </c:pt>
                <c:pt idx="11">
                  <c:v>0</c:v>
                </c:pt>
              </c:numCache>
            </c:numRef>
          </c:val>
          <c:extLst>
            <c:ext xmlns:c16="http://schemas.microsoft.com/office/drawing/2014/chart" uri="{C3380CC4-5D6E-409C-BE32-E72D297353CC}">
              <c16:uniqueId val="{00000000-7525-4170-A8A5-10BFF78163F9}"/>
            </c:ext>
          </c:extLst>
        </c:ser>
        <c:dLbls>
          <c:showLegendKey val="0"/>
          <c:showVal val="0"/>
          <c:showCatName val="0"/>
          <c:showSerName val="0"/>
          <c:showPercent val="0"/>
          <c:showBubbleSize val="0"/>
        </c:dLbls>
        <c:gapWidth val="269"/>
        <c:overlap val="-20"/>
        <c:axId val="390829472"/>
        <c:axId val="390834176"/>
      </c:barChart>
      <c:catAx>
        <c:axId val="390829472"/>
        <c:scaling>
          <c:orientation val="minMax"/>
        </c:scaling>
        <c:delete val="0"/>
        <c:axPos val="l"/>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60000000" spcFirstLastPara="1" vertOverflow="ellipsis" vert="horz" wrap="square" anchor="ctr" anchorCtr="1"/>
          <a:lstStyle/>
          <a:p>
            <a:pPr>
              <a:defRPr sz="800" b="0" i="0" u="none" strike="noStrike" kern="1200" cap="all" spc="150" normalizeH="0" baseline="0">
                <a:solidFill>
                  <a:schemeClr val="lt1"/>
                </a:solidFill>
                <a:latin typeface="+mn-lt"/>
                <a:ea typeface="+mn-ea"/>
                <a:cs typeface="+mn-cs"/>
              </a:defRPr>
            </a:pPr>
            <a:endParaRPr lang="en-US"/>
          </a:p>
        </c:txPr>
        <c:crossAx val="390834176"/>
        <c:crosses val="autoZero"/>
        <c:auto val="1"/>
        <c:lblAlgn val="ctr"/>
        <c:lblOffset val="100"/>
        <c:noMultiLvlLbl val="0"/>
      </c:catAx>
      <c:valAx>
        <c:axId val="390834176"/>
        <c:scaling>
          <c:orientation val="minMax"/>
        </c:scaling>
        <c:delete val="0"/>
        <c:axPos val="b"/>
        <c:majorGridlines>
          <c:spPr>
            <a:ln w="9525" cap="flat" cmpd="sng" algn="ctr">
              <a:solidFill>
                <a:schemeClr val="lt1">
                  <a:alpha val="25000"/>
                </a:schemeClr>
              </a:solidFill>
              <a:round/>
            </a:ln>
            <a:effectLst/>
          </c:spPr>
        </c:majorGridlines>
        <c:numFmt formatCode="##0.00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crossAx val="390829472"/>
        <c:crosses val="autoZero"/>
        <c:crossBetween val="between"/>
      </c:valAx>
      <c:spPr>
        <a:noFill/>
        <a:ln>
          <a:noFill/>
        </a:ln>
        <a:effectLst/>
      </c:spPr>
    </c:plotArea>
    <c:plotVisOnly val="1"/>
    <c:dispBlanksAs val="gap"/>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Uncertainty per Point</a:t>
            </a:r>
          </a:p>
        </c:rich>
      </c:tx>
      <c:overlay val="0"/>
    </c:title>
    <c:autoTitleDeleted val="0"/>
    <c:plotArea>
      <c:layout>
        <c:manualLayout>
          <c:layoutTarget val="inner"/>
          <c:xMode val="edge"/>
          <c:yMode val="edge"/>
          <c:x val="0.14882190414141103"/>
          <c:y val="0.18184593092995502"/>
          <c:w val="0.8080706264460954"/>
          <c:h val="0.67963693767484523"/>
        </c:manualLayout>
      </c:layout>
      <c:scatterChart>
        <c:scatterStyle val="lineMarker"/>
        <c:varyColors val="0"/>
        <c:ser>
          <c:idx val="0"/>
          <c:order val="0"/>
          <c:tx>
            <c:v>Actual Uncertainty</c:v>
          </c:tx>
          <c:spPr>
            <a:ln w="28575">
              <a:noFill/>
            </a:ln>
          </c:spPr>
          <c:xVal>
            <c:numRef>
              <c:f>'CMC Summary'!$C$43:$C$54</c:f>
              <c:numCache>
                <c:formatCode>General</c:formatCode>
                <c:ptCount val="12"/>
                <c:pt idx="0" formatCode="0">
                  <c:v>0</c:v>
                </c:pt>
                <c:pt idx="1">
                  <c:v>0</c:v>
                </c:pt>
                <c:pt idx="2">
                  <c:v>0</c:v>
                </c:pt>
                <c:pt idx="3">
                  <c:v>0</c:v>
                </c:pt>
                <c:pt idx="4">
                  <c:v>0</c:v>
                </c:pt>
                <c:pt idx="5">
                  <c:v>0</c:v>
                </c:pt>
                <c:pt idx="6">
                  <c:v>0</c:v>
                </c:pt>
                <c:pt idx="7">
                  <c:v>0</c:v>
                </c:pt>
                <c:pt idx="8">
                  <c:v>0</c:v>
                </c:pt>
                <c:pt idx="9">
                  <c:v>0</c:v>
                </c:pt>
                <c:pt idx="10">
                  <c:v>0</c:v>
                </c:pt>
                <c:pt idx="11">
                  <c:v>0</c:v>
                </c:pt>
              </c:numCache>
            </c:numRef>
          </c:xVal>
          <c:yVal>
            <c:numRef>
              <c:f>'CMC Summary'!$D$43:$D$54</c:f>
              <c:numCache>
                <c:formatCode>General</c:formatCode>
                <c:ptCount val="12"/>
                <c:pt idx="0" formatCode="0.0000000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2-4BEE-429D-8A2C-A38EC3B0325D}"/>
            </c:ext>
          </c:extLst>
        </c:ser>
        <c:ser>
          <c:idx val="1"/>
          <c:order val="1"/>
          <c:tx>
            <c:v>Calculated Uncertainty by Best Fit</c:v>
          </c:tx>
          <c:spPr>
            <a:ln w="28575">
              <a:noFill/>
            </a:ln>
          </c:spPr>
          <c:xVal>
            <c:numRef>
              <c:f>'CMC Summary'!$C$43:$C$54</c:f>
              <c:numCache>
                <c:formatCode>General</c:formatCode>
                <c:ptCount val="12"/>
                <c:pt idx="0" formatCode="0">
                  <c:v>0</c:v>
                </c:pt>
                <c:pt idx="1">
                  <c:v>0</c:v>
                </c:pt>
                <c:pt idx="2">
                  <c:v>0</c:v>
                </c:pt>
                <c:pt idx="3">
                  <c:v>0</c:v>
                </c:pt>
                <c:pt idx="4">
                  <c:v>0</c:v>
                </c:pt>
                <c:pt idx="5">
                  <c:v>0</c:v>
                </c:pt>
                <c:pt idx="6">
                  <c:v>0</c:v>
                </c:pt>
                <c:pt idx="7">
                  <c:v>0</c:v>
                </c:pt>
                <c:pt idx="8">
                  <c:v>0</c:v>
                </c:pt>
                <c:pt idx="9">
                  <c:v>0</c:v>
                </c:pt>
                <c:pt idx="10">
                  <c:v>0</c:v>
                </c:pt>
                <c:pt idx="11">
                  <c:v>0</c:v>
                </c:pt>
              </c:numCache>
            </c:numRef>
          </c:xVal>
          <c:yVal>
            <c:numRef>
              <c:f>'CMC Summary'!$E$43:$E$54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39AE-47E9-BDE6-C13E1AF44EB1}"/>
            </c:ext>
          </c:extLst>
        </c:ser>
        <c:dLbls>
          <c:showLegendKey val="0"/>
          <c:showVal val="0"/>
          <c:showCatName val="0"/>
          <c:showSerName val="0"/>
          <c:showPercent val="0"/>
          <c:showBubbleSize val="0"/>
        </c:dLbls>
        <c:axId val="389166144"/>
        <c:axId val="389167712"/>
      </c:scatterChart>
      <c:valAx>
        <c:axId val="389166144"/>
        <c:scaling>
          <c:orientation val="minMax"/>
        </c:scaling>
        <c:delete val="0"/>
        <c:axPos val="b"/>
        <c:title>
          <c:tx>
            <c:rich>
              <a:bodyPr/>
              <a:lstStyle/>
              <a:p>
                <a:pPr>
                  <a:defRPr/>
                </a:pPr>
                <a:r>
                  <a:rPr lang="en-US"/>
                  <a:t>Force</a:t>
                </a:r>
              </a:p>
            </c:rich>
          </c:tx>
          <c:layout>
            <c:manualLayout>
              <c:xMode val="edge"/>
              <c:yMode val="edge"/>
              <c:x val="0.48376230219434257"/>
              <c:y val="0.93428861841874666"/>
            </c:manualLayout>
          </c:layout>
          <c:overlay val="0"/>
        </c:title>
        <c:numFmt formatCode="0" sourceLinked="0"/>
        <c:majorTickMark val="out"/>
        <c:minorTickMark val="none"/>
        <c:tickLblPos val="nextTo"/>
        <c:crossAx val="389167712"/>
        <c:crosses val="autoZero"/>
        <c:crossBetween val="midCat"/>
      </c:valAx>
      <c:valAx>
        <c:axId val="389167712"/>
        <c:scaling>
          <c:orientation val="minMax"/>
        </c:scaling>
        <c:delete val="0"/>
        <c:axPos val="l"/>
        <c:majorGridlines/>
        <c:title>
          <c:tx>
            <c:rich>
              <a:bodyPr/>
              <a:lstStyle/>
              <a:p>
                <a:pPr>
                  <a:defRPr/>
                </a:pPr>
                <a:r>
                  <a:rPr lang="en-US"/>
                  <a:t>Uncertainty</a:t>
                </a:r>
              </a:p>
            </c:rich>
          </c:tx>
          <c:overlay val="0"/>
        </c:title>
        <c:numFmt formatCode="0.000" sourceLinked="0"/>
        <c:majorTickMark val="out"/>
        <c:minorTickMark val="none"/>
        <c:tickLblPos val="nextTo"/>
        <c:crossAx val="389166144"/>
        <c:crosses val="autoZero"/>
        <c:crossBetween val="midCat"/>
      </c:valAx>
    </c:plotArea>
    <c:legend>
      <c:legendPos val="r"/>
      <c:layout>
        <c:manualLayout>
          <c:xMode val="edge"/>
          <c:yMode val="edge"/>
          <c:x val="0.66140327559396905"/>
          <c:y val="0.49149148837212925"/>
          <c:w val="0.32524248976771203"/>
          <c:h val="0.29846283529799461"/>
        </c:manualLayout>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Deviation vs Applied Force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manualLayout>
          <c:layoutTarget val="inner"/>
          <c:xMode val="edge"/>
          <c:yMode val="edge"/>
          <c:x val="4.2177886667728023E-2"/>
          <c:y val="0.16177537006562961"/>
          <c:w val="0.92838275412364335"/>
          <c:h val="0.81736531154111947"/>
        </c:manualLayout>
      </c:layout>
      <c:scatterChart>
        <c:scatterStyle val="smoothMarker"/>
        <c:varyColors val="0"/>
        <c:ser>
          <c:idx val="0"/>
          <c:order val="0"/>
          <c:tx>
            <c:v>Participant</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errBars>
            <c:errDir val="y"/>
            <c:errBarType val="both"/>
            <c:errValType val="cust"/>
            <c:noEndCap val="0"/>
            <c:plus>
              <c:numRef>
                <c:f>'PT Data Entry'!$G$47:$G$57</c:f>
                <c:numCache>
                  <c:formatCode>General</c:formatCode>
                  <c:ptCount val="11"/>
                  <c:pt idx="0">
                    <c:v>0.1</c:v>
                  </c:pt>
                  <c:pt idx="1">
                    <c:v>1</c:v>
                  </c:pt>
                  <c:pt idx="2">
                    <c:v>2</c:v>
                  </c:pt>
                  <c:pt idx="3">
                    <c:v>3</c:v>
                  </c:pt>
                  <c:pt idx="4">
                    <c:v>4</c:v>
                  </c:pt>
                  <c:pt idx="5">
                    <c:v>5</c:v>
                  </c:pt>
                  <c:pt idx="6">
                    <c:v>6</c:v>
                  </c:pt>
                  <c:pt idx="7">
                    <c:v>7</c:v>
                  </c:pt>
                  <c:pt idx="8">
                    <c:v>8</c:v>
                  </c:pt>
                  <c:pt idx="9">
                    <c:v>9</c:v>
                  </c:pt>
                  <c:pt idx="10">
                    <c:v>10</c:v>
                  </c:pt>
                </c:numCache>
              </c:numRef>
            </c:plus>
            <c:minus>
              <c:numRef>
                <c:f>'PT Data Entry'!$G$47:$G$57</c:f>
                <c:numCache>
                  <c:formatCode>General</c:formatCode>
                  <c:ptCount val="11"/>
                  <c:pt idx="0">
                    <c:v>0.1</c:v>
                  </c:pt>
                  <c:pt idx="1">
                    <c:v>1</c:v>
                  </c:pt>
                  <c:pt idx="2">
                    <c:v>2</c:v>
                  </c:pt>
                  <c:pt idx="3">
                    <c:v>3</c:v>
                  </c:pt>
                  <c:pt idx="4">
                    <c:v>4</c:v>
                  </c:pt>
                  <c:pt idx="5">
                    <c:v>5</c:v>
                  </c:pt>
                  <c:pt idx="6">
                    <c:v>6</c:v>
                  </c:pt>
                  <c:pt idx="7">
                    <c:v>7</c:v>
                  </c:pt>
                  <c:pt idx="8">
                    <c:v>8</c:v>
                  </c:pt>
                  <c:pt idx="9">
                    <c:v>9</c:v>
                  </c:pt>
                  <c:pt idx="10">
                    <c:v>10</c:v>
                  </c:pt>
                </c:numCache>
              </c:numRef>
            </c:minus>
            <c:spPr>
              <a:noFill/>
              <a:ln w="12700" cap="flat" cmpd="sng" algn="ctr">
                <a:solidFill>
                  <a:srgbClr val="0070C0"/>
                </a:solidFill>
                <a:round/>
              </a:ln>
              <a:effectLst/>
            </c:spPr>
          </c:errBars>
          <c:errBars>
            <c:errDir val="x"/>
            <c:errBarType val="both"/>
            <c:errValType val="cust"/>
            <c:noEndCap val="0"/>
            <c:plus>
              <c:numLit>
                <c:formatCode>General</c:formatCode>
                <c:ptCount val="1"/>
                <c:pt idx="0">
                  <c:v>0</c:v>
                </c:pt>
              </c:numLit>
            </c:plus>
            <c:minus>
              <c:numLit>
                <c:formatCode>General</c:formatCode>
                <c:ptCount val="1"/>
                <c:pt idx="0">
                  <c:v>0</c:v>
                </c:pt>
              </c:numLit>
            </c:minus>
            <c:spPr>
              <a:noFill/>
              <a:ln w="9525" cap="flat" cmpd="sng" algn="ctr">
                <a:solidFill>
                  <a:schemeClr val="dk1">
                    <a:lumMod val="50000"/>
                    <a:lumOff val="50000"/>
                  </a:schemeClr>
                </a:solidFill>
                <a:round/>
              </a:ln>
              <a:effectLst/>
            </c:spPr>
          </c:errBars>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Entry'!$F$47:$F$57</c:f>
              <c:numCache>
                <c:formatCode>0.00</c:formatCode>
                <c:ptCount val="11"/>
                <c:pt idx="0">
                  <c:v>-3.3757807565507392E-2</c:v>
                </c:pt>
                <c:pt idx="1">
                  <c:v>6.4144833371756249E-2</c:v>
                </c:pt>
                <c:pt idx="2">
                  <c:v>0.10165679266719962</c:v>
                </c:pt>
                <c:pt idx="3">
                  <c:v>4.7218363430147292E-2</c:v>
                </c:pt>
                <c:pt idx="4">
                  <c:v>-7.8342081171285827E-2</c:v>
                </c:pt>
                <c:pt idx="5">
                  <c:v>-0.25388376866612816</c:v>
                </c:pt>
                <c:pt idx="6">
                  <c:v>-0.45888843635475496</c:v>
                </c:pt>
                <c:pt idx="7">
                  <c:v>-0.67337694505113177</c:v>
                </c:pt>
                <c:pt idx="8">
                  <c:v>-0.87770448668743484</c:v>
                </c:pt>
                <c:pt idx="9">
                  <c:v>-1.0523356782941846</c:v>
                </c:pt>
                <c:pt idx="10">
                  <c:v>-1.1776155959814787</c:v>
                </c:pt>
              </c:numCache>
            </c:numRef>
          </c:yVal>
          <c:smooth val="1"/>
          <c:extLst>
            <c:ext xmlns:c16="http://schemas.microsoft.com/office/drawing/2014/chart" uri="{C3380CC4-5D6E-409C-BE32-E72D297353CC}">
              <c16:uniqueId val="{00000000-4D44-42BD-854C-663738D6DB87}"/>
            </c:ext>
          </c:extLst>
        </c:ser>
        <c:ser>
          <c:idx val="1"/>
          <c:order val="1"/>
          <c:tx>
            <c:v>Reference</c:v>
          </c:tx>
          <c:spPr>
            <a:ln w="9525" cap="rnd">
              <a:solidFill>
                <a:srgbClr val="FFC000">
                  <a:alpha val="97000"/>
                </a:srgbClr>
              </a:solidFill>
              <a:round/>
            </a:ln>
            <a:effectLst/>
          </c:spPr>
          <c:marker>
            <c:symbol val="square"/>
            <c:size val="6"/>
            <c:spPr>
              <a:solidFill>
                <a:schemeClr val="lt1"/>
              </a:solidFill>
              <a:ln w="15875">
                <a:solidFill>
                  <a:schemeClr val="accent2"/>
                </a:solidFill>
                <a:round/>
              </a:ln>
              <a:effectLst/>
            </c:spPr>
          </c:marker>
          <c:dPt>
            <c:idx val="9"/>
            <c:marker>
              <c:symbol val="square"/>
              <c:size val="6"/>
              <c:spPr>
                <a:solidFill>
                  <a:schemeClr val="lt1"/>
                </a:solidFill>
                <a:ln w="15875">
                  <a:solidFill>
                    <a:schemeClr val="accent2"/>
                  </a:solidFill>
                  <a:round/>
                </a:ln>
                <a:effectLst/>
              </c:spPr>
            </c:marker>
            <c:bubble3D val="0"/>
            <c:spPr>
              <a:ln w="9525" cap="rnd">
                <a:solidFill>
                  <a:srgbClr val="FFC000">
                    <a:alpha val="89000"/>
                  </a:srgbClr>
                </a:solidFill>
                <a:round/>
              </a:ln>
              <a:effectLst/>
            </c:spPr>
            <c:extLst>
              <c:ext xmlns:c16="http://schemas.microsoft.com/office/drawing/2014/chart" uri="{C3380CC4-5D6E-409C-BE32-E72D297353CC}">
                <c16:uniqueId val="{00000002-4D44-42BD-854C-663738D6DB87}"/>
              </c:ext>
            </c:extLst>
          </c:dPt>
          <c:errBars>
            <c:errDir val="y"/>
            <c:errBarType val="both"/>
            <c:errValType val="cust"/>
            <c:noEndCap val="0"/>
            <c:plus>
              <c:numRef>
                <c:f>'PT Data Entry'!$H$47:$H$57</c:f>
                <c:numCache>
                  <c:formatCode>General</c:formatCode>
                  <c:ptCount val="11"/>
                  <c:pt idx="0">
                    <c:v>2.0883886398635458</c:v>
                  </c:pt>
                  <c:pt idx="1">
                    <c:v>2.0944476864106947</c:v>
                  </c:pt>
                  <c:pt idx="2">
                    <c:v>2.1127023243020093</c:v>
                  </c:pt>
                  <c:pt idx="3">
                    <c:v>2.1427811626741335</c:v>
                  </c:pt>
                  <c:pt idx="4">
                    <c:v>2.1841957584225624</c:v>
                  </c:pt>
                  <c:pt idx="5">
                    <c:v>2.2363164156959345</c:v>
                  </c:pt>
                  <c:pt idx="6">
                    <c:v>2.2984149127411944</c:v>
                  </c:pt>
                  <c:pt idx="7">
                    <c:v>2.3697069673508393</c:v>
                  </c:pt>
                  <c:pt idx="8">
                    <c:v>2.4493899467236964</c:v>
                  </c:pt>
                  <c:pt idx="9">
                    <c:v>2.5366732369603917</c:v>
                  </c:pt>
                  <c:pt idx="10">
                    <c:v>2.6308004696500857</c:v>
                  </c:pt>
                </c:numCache>
              </c:numRef>
            </c:plus>
            <c:minus>
              <c:numRef>
                <c:f>'PT Data Entry'!$H$47:$H$57</c:f>
                <c:numCache>
                  <c:formatCode>General</c:formatCode>
                  <c:ptCount val="11"/>
                  <c:pt idx="0">
                    <c:v>2.0883886398635458</c:v>
                  </c:pt>
                  <c:pt idx="1">
                    <c:v>2.0944476864106947</c:v>
                  </c:pt>
                  <c:pt idx="2">
                    <c:v>2.1127023243020093</c:v>
                  </c:pt>
                  <c:pt idx="3">
                    <c:v>2.1427811626741335</c:v>
                  </c:pt>
                  <c:pt idx="4">
                    <c:v>2.1841957584225624</c:v>
                  </c:pt>
                  <c:pt idx="5">
                    <c:v>2.2363164156959345</c:v>
                  </c:pt>
                  <c:pt idx="6">
                    <c:v>2.2984149127411944</c:v>
                  </c:pt>
                  <c:pt idx="7">
                    <c:v>2.3697069673508393</c:v>
                  </c:pt>
                  <c:pt idx="8">
                    <c:v>2.4493899467236964</c:v>
                  </c:pt>
                  <c:pt idx="9">
                    <c:v>2.5366732369603917</c:v>
                  </c:pt>
                  <c:pt idx="10">
                    <c:v>2.6308004696500857</c:v>
                  </c:pt>
                </c:numCache>
              </c:numRef>
            </c:minus>
            <c:spPr>
              <a:noFill/>
              <a:ln w="12700" cap="flat" cmpd="sng" algn="ctr">
                <a:solidFill>
                  <a:srgbClr val="FFC000">
                    <a:alpha val="92000"/>
                  </a:srgbClr>
                </a:solidFill>
                <a:prstDash val="solid"/>
                <a:round/>
              </a:ln>
              <a:effectLst/>
            </c:spPr>
          </c:errBars>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Entry'!$AM$27:$AM$37</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yVal>
          <c:smooth val="1"/>
          <c:extLst>
            <c:ext xmlns:c16="http://schemas.microsoft.com/office/drawing/2014/chart" uri="{C3380CC4-5D6E-409C-BE32-E72D297353CC}">
              <c16:uniqueId val="{00000003-4D44-42BD-854C-663738D6DB87}"/>
            </c:ext>
          </c:extLst>
        </c:ser>
        <c:dLbls>
          <c:showLegendKey val="0"/>
          <c:showVal val="0"/>
          <c:showCatName val="0"/>
          <c:showSerName val="0"/>
          <c:showPercent val="0"/>
          <c:showBubbleSize val="0"/>
        </c:dLbls>
        <c:axId val="890141096"/>
        <c:axId val="890134208"/>
      </c:scatterChart>
      <c:valAx>
        <c:axId val="890141096"/>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0"/>
          <a:lstStyle/>
          <a:p>
            <a:pPr>
              <a:defRPr sz="900" b="0" i="0" u="none" strike="noStrike" kern="1200" baseline="0">
                <a:solidFill>
                  <a:schemeClr val="dk1">
                    <a:lumMod val="65000"/>
                    <a:lumOff val="35000"/>
                  </a:schemeClr>
                </a:solidFill>
                <a:latin typeface="+mn-lt"/>
                <a:ea typeface="+mn-ea"/>
                <a:cs typeface="+mn-cs"/>
              </a:defRPr>
            </a:pPr>
            <a:endParaRPr lang="en-US"/>
          </a:p>
        </c:txPr>
        <c:crossAx val="890134208"/>
        <c:crosses val="autoZero"/>
        <c:crossBetween val="midCat"/>
      </c:valAx>
      <c:valAx>
        <c:axId val="890134208"/>
        <c:scaling>
          <c:orientation val="minMax"/>
        </c:scaling>
        <c:delete val="0"/>
        <c:axPos val="l"/>
        <c:majorGridlines>
          <c:spPr>
            <a:ln w="9525" cap="flat" cmpd="sng" algn="ctr">
              <a:solidFill>
                <a:schemeClr val="dk1">
                  <a:lumMod val="15000"/>
                  <a:lumOff val="85000"/>
                </a:schemeClr>
              </a:solidFill>
              <a:round/>
            </a:ln>
            <a:effectLst/>
          </c:spPr>
        </c:majorGridlines>
        <c:numFmt formatCode="0.00" sourceLinked="1"/>
        <c:majorTickMark val="none"/>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890141096"/>
        <c:crosses val="autoZero"/>
        <c:crossBetween val="midCat"/>
      </c:valAx>
      <c:spPr>
        <a:pattFill prst="ltDnDiag">
          <a:fgClr>
            <a:schemeClr val="dk1">
              <a:lumMod val="15000"/>
              <a:lumOff val="85000"/>
            </a:schemeClr>
          </a:fgClr>
          <a:bgClr>
            <a:schemeClr val="lt1"/>
          </a:bgClr>
        </a:patt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12700" cap="flat" cmpd="sng" algn="ctr">
      <a:solidFill>
        <a:schemeClr val="dk1">
          <a:lumMod val="15000"/>
          <a:lumOff val="85000"/>
        </a:schemeClr>
      </a:solidFill>
      <a:round/>
    </a:ln>
    <a:effectLst>
      <a:softEdge rad="0"/>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Entry'!$I$47:$I$57</c:f>
              <c:numCache>
                <c:formatCode>0.00000</c:formatCode>
                <c:ptCount val="11"/>
                <c:pt idx="0">
                  <c:v>-1.6146023972612233E-2</c:v>
                </c:pt>
                <c:pt idx="1">
                  <c:v>2.7637568934242809E-2</c:v>
                </c:pt>
                <c:pt idx="2">
                  <c:v>3.49430748893267E-2</c:v>
                </c:pt>
                <c:pt idx="3">
                  <c:v>1.2807874348141218E-2</c:v>
                </c:pt>
                <c:pt idx="4">
                  <c:v>-1.718974450718146E-2</c:v>
                </c:pt>
                <c:pt idx="5">
                  <c:v>-4.6351764002901523E-2</c:v>
                </c:pt>
                <c:pt idx="6">
                  <c:v>-7.1420520133843091E-2</c:v>
                </c:pt>
                <c:pt idx="7">
                  <c:v>-9.1117174050294042E-2</c:v>
                </c:pt>
                <c:pt idx="8">
                  <c:v>-0.1049061176424612</c:v>
                </c:pt>
                <c:pt idx="9">
                  <c:v>-0.11254141082910249</c:v>
                </c:pt>
                <c:pt idx="10">
                  <c:v>-0.11388638745164237</c:v>
                </c:pt>
              </c:numCache>
            </c:numRef>
          </c:yVal>
          <c:smooth val="1"/>
          <c:extLst>
            <c:ext xmlns:c16="http://schemas.microsoft.com/office/drawing/2014/chart" uri="{C3380CC4-5D6E-409C-BE32-E72D297353CC}">
              <c16:uniqueId val="{00000000-B0DB-4046-B7DD-A2CA68C7B3B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B0DB-4046-B7DD-A2CA68C7B3B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B0DB-4046-B7DD-A2CA68C7B3B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Entry'!$I$47:$I$57</c:f>
              <c:numCache>
                <c:formatCode>0.00000</c:formatCode>
                <c:ptCount val="11"/>
                <c:pt idx="0">
                  <c:v>-1.6146023972612233E-2</c:v>
                </c:pt>
                <c:pt idx="1">
                  <c:v>2.7637568934242809E-2</c:v>
                </c:pt>
                <c:pt idx="2">
                  <c:v>3.49430748893267E-2</c:v>
                </c:pt>
                <c:pt idx="3">
                  <c:v>1.2807874348141218E-2</c:v>
                </c:pt>
                <c:pt idx="4">
                  <c:v>-1.718974450718146E-2</c:v>
                </c:pt>
                <c:pt idx="5">
                  <c:v>-4.6351764002901523E-2</c:v>
                </c:pt>
                <c:pt idx="6">
                  <c:v>-7.1420520133843091E-2</c:v>
                </c:pt>
                <c:pt idx="7">
                  <c:v>-9.1117174050294042E-2</c:v>
                </c:pt>
                <c:pt idx="8">
                  <c:v>-0.1049061176424612</c:v>
                </c:pt>
                <c:pt idx="9">
                  <c:v>-0.11254141082910249</c:v>
                </c:pt>
                <c:pt idx="10">
                  <c:v>-0.11388638745164237</c:v>
                </c:pt>
              </c:numCache>
            </c:numRef>
          </c:yVal>
          <c:smooth val="1"/>
          <c:extLst>
            <c:ext xmlns:c16="http://schemas.microsoft.com/office/drawing/2014/chart" uri="{C3380CC4-5D6E-409C-BE32-E72D297353CC}">
              <c16:uniqueId val="{00000000-1DFD-4AD8-B1CC-4B5EFADA69E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1DFD-4AD8-B1CC-4B5EFADA69E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1DFD-4AD8-B1CC-4B5EFADA69E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jpg"/><Relationship Id="rId1" Type="http://schemas.openxmlformats.org/officeDocument/2006/relationships/chart" Target="../charts/chart1.xm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eg"/><Relationship Id="rId1" Type="http://schemas.openxmlformats.org/officeDocument/2006/relationships/image" Target="../media/image1.jpg"/><Relationship Id="rId5" Type="http://schemas.openxmlformats.org/officeDocument/2006/relationships/chart" Target="../charts/chart5.xml"/><Relationship Id="rId4"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3</xdr:col>
      <xdr:colOff>15240</xdr:colOff>
      <xdr:row>81</xdr:row>
      <xdr:rowOff>3810</xdr:rowOff>
    </xdr:from>
    <xdr:to>
      <xdr:col>6</xdr:col>
      <xdr:colOff>845820</xdr:colOff>
      <xdr:row>96</xdr:row>
      <xdr:rowOff>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63</xdr:row>
      <xdr:rowOff>7620</xdr:rowOff>
    </xdr:from>
    <xdr:to>
      <xdr:col>9</xdr:col>
      <xdr:colOff>207645</xdr:colOff>
      <xdr:row>66</xdr:row>
      <xdr:rowOff>0</xdr:rowOff>
    </xdr:to>
    <xdr:sp macro="" textlink="">
      <xdr:nvSpPr>
        <xdr:cNvPr id="95238" name="Object 6" hidden="1">
          <a:extLst>
            <a:ext uri="{63B3BB69-23CF-44E3-9099-C40C66FF867C}">
              <a14:compatExt xmlns:a14="http://schemas.microsoft.com/office/drawing/2010/main" spid="_x0000_s95238"/>
            </a:ext>
            <a:ext uri="{FF2B5EF4-FFF2-40B4-BE49-F238E27FC236}">
              <a16:creationId xmlns:a16="http://schemas.microsoft.com/office/drawing/2014/main" id="{00000000-0008-0000-0200-00000674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0</xdr:col>
      <xdr:colOff>7257</xdr:colOff>
      <xdr:row>0</xdr:row>
      <xdr:rowOff>0</xdr:rowOff>
    </xdr:from>
    <xdr:to>
      <xdr:col>0</xdr:col>
      <xdr:colOff>2549117</xdr:colOff>
      <xdr:row>0</xdr:row>
      <xdr:rowOff>624840</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7" y="0"/>
          <a:ext cx="2596742" cy="624840"/>
        </a:xfrm>
        <a:prstGeom prst="rect">
          <a:avLst/>
        </a:prstGeom>
      </xdr:spPr>
    </xdr:pic>
    <xdr:clientData/>
  </xdr:twoCellAnchor>
  <xdr:twoCellAnchor editAs="oneCell">
    <xdr:from>
      <xdr:col>8</xdr:col>
      <xdr:colOff>28575</xdr:colOff>
      <xdr:row>63</xdr:row>
      <xdr:rowOff>9525</xdr:rowOff>
    </xdr:from>
    <xdr:to>
      <xdr:col>9</xdr:col>
      <xdr:colOff>281940</xdr:colOff>
      <xdr:row>66</xdr:row>
      <xdr:rowOff>0</xdr:rowOff>
    </xdr:to>
    <xdr:pic>
      <xdr:nvPicPr>
        <xdr:cNvPr id="3" name="Picture 6">
          <a:extLst>
            <a:ext uri="{FF2B5EF4-FFF2-40B4-BE49-F238E27FC236}">
              <a16:creationId xmlns:a16="http://schemas.microsoft.com/office/drawing/2014/main" id="{FFD04405-F923-48C8-87EA-442B9BE216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687050" y="13220700"/>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twoCellAnchor editAs="oneCell">
    <xdr:from>
      <xdr:col>0</xdr:col>
      <xdr:colOff>0</xdr:colOff>
      <xdr:row>102</xdr:row>
      <xdr:rowOff>0</xdr:rowOff>
    </xdr:from>
    <xdr:to>
      <xdr:col>4</xdr:col>
      <xdr:colOff>629630</xdr:colOff>
      <xdr:row>114</xdr:row>
      <xdr:rowOff>133688</xdr:rowOff>
    </xdr:to>
    <xdr:pic>
      <xdr:nvPicPr>
        <xdr:cNvPr id="4" name="Picture 3">
          <a:extLst>
            <a:ext uri="{FF2B5EF4-FFF2-40B4-BE49-F238E27FC236}">
              <a16:creationId xmlns:a16="http://schemas.microsoft.com/office/drawing/2014/main" id="{01891FAE-E1FE-2D8E-C65D-F48EF38D0803}"/>
            </a:ext>
          </a:extLst>
        </xdr:cNvPr>
        <xdr:cNvPicPr>
          <a:picLocks noChangeAspect="1"/>
        </xdr:cNvPicPr>
      </xdr:nvPicPr>
      <xdr:blipFill>
        <a:blip xmlns:r="http://schemas.openxmlformats.org/officeDocument/2006/relationships" r:embed="rId4"/>
        <a:stretch>
          <a:fillRect/>
        </a:stretch>
      </xdr:blipFill>
      <xdr:spPr>
        <a:xfrm>
          <a:off x="0" y="20640675"/>
          <a:ext cx="7020905" cy="2419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34925</xdr:colOff>
      <xdr:row>18</xdr:row>
      <xdr:rowOff>50800</xdr:rowOff>
    </xdr:from>
    <xdr:to>
      <xdr:col>2</xdr:col>
      <xdr:colOff>863600</xdr:colOff>
      <xdr:row>35</xdr:row>
      <xdr:rowOff>152400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19</xdr:row>
      <xdr:rowOff>7620</xdr:rowOff>
    </xdr:from>
    <xdr:to>
      <xdr:col>9</xdr:col>
      <xdr:colOff>220980</xdr:colOff>
      <xdr:row>21</xdr:row>
      <xdr:rowOff>172357</xdr:rowOff>
    </xdr:to>
    <xdr:sp macro="" textlink="">
      <xdr:nvSpPr>
        <xdr:cNvPr id="101377" name="Object 1" hidden="1">
          <a:extLst>
            <a:ext uri="{63B3BB69-23CF-44E3-9099-C40C66FF867C}">
              <a14:compatExt xmlns:a14="http://schemas.microsoft.com/office/drawing/2010/main" spid="_x0000_s101377"/>
            </a:ext>
            <a:ext uri="{FF2B5EF4-FFF2-40B4-BE49-F238E27FC236}">
              <a16:creationId xmlns:a16="http://schemas.microsoft.com/office/drawing/2014/main" id="{00000000-0008-0000-0300-0000018C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8</xdr:col>
      <xdr:colOff>28575</xdr:colOff>
      <xdr:row>19</xdr:row>
      <xdr:rowOff>9525</xdr:rowOff>
    </xdr:from>
    <xdr:to>
      <xdr:col>9</xdr:col>
      <xdr:colOff>276225</xdr:colOff>
      <xdr:row>21</xdr:row>
      <xdr:rowOff>172357</xdr:rowOff>
    </xdr:to>
    <xdr:pic>
      <xdr:nvPicPr>
        <xdr:cNvPr id="3" name="Picture 1">
          <a:extLst>
            <a:ext uri="{FF2B5EF4-FFF2-40B4-BE49-F238E27FC236}">
              <a16:creationId xmlns:a16="http://schemas.microsoft.com/office/drawing/2014/main" id="{DCD3B416-7AED-4924-89C5-648BCFE2BE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63050" y="4314825"/>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219075</xdr:colOff>
      <xdr:row>24</xdr:row>
      <xdr:rowOff>57149</xdr:rowOff>
    </xdr:from>
    <xdr:to>
      <xdr:col>3</xdr:col>
      <xdr:colOff>1326046</xdr:colOff>
      <xdr:row>37</xdr:row>
      <xdr:rowOff>138318</xdr:rowOff>
    </xdr:to>
    <xdr:graphicFrame macro="">
      <xdr:nvGraphicFramePr>
        <xdr:cNvPr id="6" name="Chart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31</xdr:row>
      <xdr:rowOff>123825</xdr:rowOff>
    </xdr:from>
    <xdr:ext cx="3681136" cy="304800"/>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372100" y="67818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𝑈</m:t>
                    </m:r>
                    <m:r>
                      <a:rPr lang="en-US" sz="1400" b="0" i="1">
                        <a:latin typeface="Cambria Math" panose="02040503050406030204" pitchFamily="18" charset="0"/>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3</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3</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2</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2</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1</m:t>
                        </m:r>
                      </m:sub>
                    </m:sSub>
                    <m:r>
                      <a:rPr lang="en-US" sz="1400" b="0" i="1">
                        <a:solidFill>
                          <a:schemeClr val="tx1"/>
                        </a:solidFill>
                        <a:effectLst/>
                        <a:latin typeface="Cambria Math" panose="02040503050406030204" pitchFamily="18" charset="0"/>
                        <a:ea typeface="+mn-ea"/>
                        <a:cs typeface="+mn-cs"/>
                      </a:rPr>
                      <m:t> </m:t>
                    </m:r>
                    <m:r>
                      <a:rPr lang="en-US" sz="1400" b="0" i="1">
                        <a:solidFill>
                          <a:schemeClr val="tx1"/>
                        </a:solidFill>
                        <a:effectLst/>
                        <a:latin typeface="Cambria Math" panose="02040503050406030204" pitchFamily="18" charset="0"/>
                        <a:ea typeface="+mn-ea"/>
                        <a:cs typeface="+mn-cs"/>
                      </a:rPr>
                      <m:t>𝐹</m:t>
                    </m:r>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0</m:t>
                        </m:r>
                      </m:sub>
                    </m:sSub>
                  </m:oMath>
                </m:oMathPara>
              </a14:m>
              <a:endParaRPr lang="en-US" sz="1400"/>
            </a:p>
          </xdr:txBody>
        </xdr:sp>
      </mc:Choice>
      <mc:Fallback xmlns="">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372100" y="67818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400" b="0" i="0">
                  <a:latin typeface="Cambria Math" panose="02040503050406030204" pitchFamily="18" charset="0"/>
                </a:rPr>
                <a:t>𝑈=</a:t>
              </a:r>
              <a:r>
                <a:rPr lang="en-US" sz="1400" b="0" i="0">
                  <a:solidFill>
                    <a:schemeClr val="tx1"/>
                  </a:solidFill>
                  <a:effectLst/>
                  <a:latin typeface="Cambria Math" panose="02040503050406030204" pitchFamily="18" charset="0"/>
                  <a:ea typeface="+mn-ea"/>
                  <a:cs typeface="+mn-cs"/>
                </a:rPr>
                <a:t>𝑎_3  𝐹^3+𝑎_2  𝐹^2+𝑎_1  𝐹+𝑎_0</a:t>
              </a:r>
              <a:endParaRPr lang="en-US" sz="1400"/>
            </a:p>
          </xdr:txBody>
        </xdr:sp>
      </mc:Fallback>
    </mc:AlternateContent>
    <xdr:clientData/>
  </xdr:oneCellAnchor>
  <xdr:twoCellAnchor editAs="oneCell">
    <xdr:from>
      <xdr:col>0</xdr:col>
      <xdr:colOff>0</xdr:colOff>
      <xdr:row>0</xdr:row>
      <xdr:rowOff>0</xdr:rowOff>
    </xdr:from>
    <xdr:to>
      <xdr:col>1</xdr:col>
      <xdr:colOff>822271</xdr:colOff>
      <xdr:row>0</xdr:row>
      <xdr:rowOff>533400</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2174821" cy="533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1771877</xdr:colOff>
      <xdr:row>0</xdr:row>
      <xdr:rowOff>624840</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524352" cy="6248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495299</xdr:colOff>
      <xdr:row>1</xdr:row>
      <xdr:rowOff>9524</xdr:rowOff>
    </xdr:from>
    <xdr:ext cx="2655187" cy="657225"/>
    <xdr:pic>
      <xdr:nvPicPr>
        <xdr:cNvPr id="2" name="Picture 1">
          <a:extLst>
            <a:ext uri="{FF2B5EF4-FFF2-40B4-BE49-F238E27FC236}">
              <a16:creationId xmlns:a16="http://schemas.microsoft.com/office/drawing/2014/main" id="{A78E370A-C3CB-4191-BBDD-0159E56BEF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9" y="200024"/>
          <a:ext cx="2655187" cy="657225"/>
        </a:xfrm>
        <a:prstGeom prst="rect">
          <a:avLst/>
        </a:prstGeom>
      </xdr:spPr>
    </xdr:pic>
    <xdr:clientData/>
  </xdr:oneCellAnchor>
  <xdr:oneCellAnchor>
    <xdr:from>
      <xdr:col>11</xdr:col>
      <xdr:colOff>53867</xdr:colOff>
      <xdr:row>40</xdr:row>
      <xdr:rowOff>57147</xdr:rowOff>
    </xdr:from>
    <xdr:ext cx="4516066" cy="2706624"/>
    <xdr:pic>
      <xdr:nvPicPr>
        <xdr:cNvPr id="3" name="Picture 2" descr="normalized error equation">
          <a:extLst>
            <a:ext uri="{FF2B5EF4-FFF2-40B4-BE49-F238E27FC236}">
              <a16:creationId xmlns:a16="http://schemas.microsoft.com/office/drawing/2014/main" id="{888DB148-0A2C-4758-9221-35FDF18556A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549917" y="7677147"/>
          <a:ext cx="4516066" cy="27066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38100</xdr:colOff>
      <xdr:row>55</xdr:row>
      <xdr:rowOff>46038</xdr:rowOff>
    </xdr:from>
    <xdr:ext cx="4017791" cy="1776413"/>
    <xdr:pic>
      <xdr:nvPicPr>
        <xdr:cNvPr id="4" name="Picture 3">
          <a:extLst>
            <a:ext uri="{FF2B5EF4-FFF2-40B4-BE49-F238E27FC236}">
              <a16:creationId xmlns:a16="http://schemas.microsoft.com/office/drawing/2014/main" id="{93C5627A-DEC0-4011-A4DB-27F668B41D2E}"/>
            </a:ext>
          </a:extLst>
        </xdr:cNvPr>
        <xdr:cNvPicPr>
          <a:picLocks noChangeAspect="1"/>
        </xdr:cNvPicPr>
      </xdr:nvPicPr>
      <xdr:blipFill>
        <a:blip xmlns:r="http://schemas.openxmlformats.org/officeDocument/2006/relationships" r:embed="rId3"/>
        <a:stretch>
          <a:fillRect/>
        </a:stretch>
      </xdr:blipFill>
      <xdr:spPr>
        <a:xfrm>
          <a:off x="6534150" y="10523538"/>
          <a:ext cx="4017791" cy="1776413"/>
        </a:xfrm>
        <a:prstGeom prst="rect">
          <a:avLst/>
        </a:prstGeom>
      </xdr:spPr>
    </xdr:pic>
    <xdr:clientData/>
  </xdr:oneCellAnchor>
  <xdr:twoCellAnchor>
    <xdr:from>
      <xdr:col>3</xdr:col>
      <xdr:colOff>390525</xdr:colOff>
      <xdr:row>20</xdr:row>
      <xdr:rowOff>28575</xdr:rowOff>
    </xdr:from>
    <xdr:to>
      <xdr:col>3</xdr:col>
      <xdr:colOff>390526</xdr:colOff>
      <xdr:row>23</xdr:row>
      <xdr:rowOff>0</xdr:rowOff>
    </xdr:to>
    <xdr:cxnSp macro="">
      <xdr:nvCxnSpPr>
        <xdr:cNvPr id="5" name="Straight Arrow Connector 4">
          <a:extLst>
            <a:ext uri="{FF2B5EF4-FFF2-40B4-BE49-F238E27FC236}">
              <a16:creationId xmlns:a16="http://schemas.microsoft.com/office/drawing/2014/main" id="{67C91176-5952-4489-8D1A-69126BD3440A}"/>
            </a:ext>
          </a:extLst>
        </xdr:cNvPr>
        <xdr:cNvCxnSpPr/>
      </xdr:nvCxnSpPr>
      <xdr:spPr>
        <a:xfrm>
          <a:off x="2162175" y="3838575"/>
          <a:ext cx="1" cy="5429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476250</xdr:colOff>
      <xdr:row>20</xdr:row>
      <xdr:rowOff>9525</xdr:rowOff>
    </xdr:from>
    <xdr:to>
      <xdr:col>5</xdr:col>
      <xdr:colOff>485776</xdr:colOff>
      <xdr:row>22</xdr:row>
      <xdr:rowOff>190500</xdr:rowOff>
    </xdr:to>
    <xdr:cxnSp macro="">
      <xdr:nvCxnSpPr>
        <xdr:cNvPr id="6" name="Straight Arrow Connector 5">
          <a:extLst>
            <a:ext uri="{FF2B5EF4-FFF2-40B4-BE49-F238E27FC236}">
              <a16:creationId xmlns:a16="http://schemas.microsoft.com/office/drawing/2014/main" id="{E46FAF4C-79CB-4631-8907-110D527464FF}"/>
            </a:ext>
          </a:extLst>
        </xdr:cNvPr>
        <xdr:cNvCxnSpPr/>
      </xdr:nvCxnSpPr>
      <xdr:spPr>
        <a:xfrm>
          <a:off x="3429000" y="3819525"/>
          <a:ext cx="9526" cy="56197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8</xdr:col>
      <xdr:colOff>466725</xdr:colOff>
      <xdr:row>20</xdr:row>
      <xdr:rowOff>19050</xdr:rowOff>
    </xdr:from>
    <xdr:to>
      <xdr:col>8</xdr:col>
      <xdr:colOff>466726</xdr:colOff>
      <xdr:row>22</xdr:row>
      <xdr:rowOff>190500</xdr:rowOff>
    </xdr:to>
    <xdr:cxnSp macro="">
      <xdr:nvCxnSpPr>
        <xdr:cNvPr id="7" name="Straight Arrow Connector 6">
          <a:extLst>
            <a:ext uri="{FF2B5EF4-FFF2-40B4-BE49-F238E27FC236}">
              <a16:creationId xmlns:a16="http://schemas.microsoft.com/office/drawing/2014/main" id="{DB9EAC22-9105-4F10-B94C-415679B2664B}"/>
            </a:ext>
          </a:extLst>
        </xdr:cNvPr>
        <xdr:cNvCxnSpPr/>
      </xdr:nvCxnSpPr>
      <xdr:spPr>
        <a:xfrm>
          <a:off x="519112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10</xdr:col>
      <xdr:colOff>447675</xdr:colOff>
      <xdr:row>20</xdr:row>
      <xdr:rowOff>19050</xdr:rowOff>
    </xdr:from>
    <xdr:to>
      <xdr:col>10</xdr:col>
      <xdr:colOff>447676</xdr:colOff>
      <xdr:row>22</xdr:row>
      <xdr:rowOff>190500</xdr:rowOff>
    </xdr:to>
    <xdr:cxnSp macro="">
      <xdr:nvCxnSpPr>
        <xdr:cNvPr id="8" name="Straight Arrow Connector 7">
          <a:extLst>
            <a:ext uri="{FF2B5EF4-FFF2-40B4-BE49-F238E27FC236}">
              <a16:creationId xmlns:a16="http://schemas.microsoft.com/office/drawing/2014/main" id="{CCEB27E7-8BD6-4AE7-9D4E-3B648D6DFB62}"/>
            </a:ext>
          </a:extLst>
        </xdr:cNvPr>
        <xdr:cNvCxnSpPr/>
      </xdr:nvCxnSpPr>
      <xdr:spPr>
        <a:xfrm>
          <a:off x="635317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323850</xdr:colOff>
      <xdr:row>4</xdr:row>
      <xdr:rowOff>1</xdr:rowOff>
    </xdr:from>
    <xdr:to>
      <xdr:col>4</xdr:col>
      <xdr:colOff>85725</xdr:colOff>
      <xdr:row>4</xdr:row>
      <xdr:rowOff>9525</xdr:rowOff>
    </xdr:to>
    <xdr:cxnSp macro="">
      <xdr:nvCxnSpPr>
        <xdr:cNvPr id="9" name="Straight Arrow Connector 8">
          <a:extLst>
            <a:ext uri="{FF2B5EF4-FFF2-40B4-BE49-F238E27FC236}">
              <a16:creationId xmlns:a16="http://schemas.microsoft.com/office/drawing/2014/main" id="{CDD8B922-0280-4701-92AF-28DB9FC43F54}"/>
            </a:ext>
          </a:extLst>
        </xdr:cNvPr>
        <xdr:cNvCxnSpPr/>
      </xdr:nvCxnSpPr>
      <xdr:spPr>
        <a:xfrm flipH="1" flipV="1">
          <a:off x="2095500" y="762001"/>
          <a:ext cx="352425" cy="95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295278</xdr:colOff>
      <xdr:row>17</xdr:row>
      <xdr:rowOff>9525</xdr:rowOff>
    </xdr:from>
    <xdr:to>
      <xdr:col>4</xdr:col>
      <xdr:colOff>95250</xdr:colOff>
      <xdr:row>17</xdr:row>
      <xdr:rowOff>9526</xdr:rowOff>
    </xdr:to>
    <xdr:cxnSp macro="">
      <xdr:nvCxnSpPr>
        <xdr:cNvPr id="10" name="Straight Arrow Connector 9">
          <a:extLst>
            <a:ext uri="{FF2B5EF4-FFF2-40B4-BE49-F238E27FC236}">
              <a16:creationId xmlns:a16="http://schemas.microsoft.com/office/drawing/2014/main" id="{83493CDA-A87C-436D-864A-7CC2FFF6C6DA}"/>
            </a:ext>
          </a:extLst>
        </xdr:cNvPr>
        <xdr:cNvCxnSpPr/>
      </xdr:nvCxnSpPr>
      <xdr:spPr>
        <a:xfrm flipH="1">
          <a:off x="2066928" y="3248025"/>
          <a:ext cx="390522" cy="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85725</xdr:colOff>
      <xdr:row>4</xdr:row>
      <xdr:rowOff>9525</xdr:rowOff>
    </xdr:from>
    <xdr:to>
      <xdr:col>4</xdr:col>
      <xdr:colOff>85725</xdr:colOff>
      <xdr:row>17</xdr:row>
      <xdr:rowOff>9525</xdr:rowOff>
    </xdr:to>
    <xdr:cxnSp macro="">
      <xdr:nvCxnSpPr>
        <xdr:cNvPr id="11" name="Straight Connector 10">
          <a:extLst>
            <a:ext uri="{FF2B5EF4-FFF2-40B4-BE49-F238E27FC236}">
              <a16:creationId xmlns:a16="http://schemas.microsoft.com/office/drawing/2014/main" id="{39C93E41-35AC-4C08-A4C3-70A49BBCFC82}"/>
            </a:ext>
          </a:extLst>
        </xdr:cNvPr>
        <xdr:cNvCxnSpPr/>
      </xdr:nvCxnSpPr>
      <xdr:spPr>
        <a:xfrm>
          <a:off x="2447925" y="771525"/>
          <a:ext cx="0" cy="2476500"/>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222249</xdr:colOff>
      <xdr:row>58</xdr:row>
      <xdr:rowOff>180180</xdr:rowOff>
    </xdr:from>
    <xdr:to>
      <xdr:col>11</xdr:col>
      <xdr:colOff>31750</xdr:colOff>
      <xdr:row>76</xdr:row>
      <xdr:rowOff>95249</xdr:rowOff>
    </xdr:to>
    <xdr:graphicFrame macro="">
      <xdr:nvGraphicFramePr>
        <xdr:cNvPr id="12" name="Chart 6">
          <a:extLst>
            <a:ext uri="{FF2B5EF4-FFF2-40B4-BE49-F238E27FC236}">
              <a16:creationId xmlns:a16="http://schemas.microsoft.com/office/drawing/2014/main" id="{D5E2E31B-ABB6-4183-B24C-63CE8652D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976842</xdr:colOff>
      <xdr:row>8</xdr:row>
      <xdr:rowOff>13758</xdr:rowOff>
    </xdr:from>
    <xdr:to>
      <xdr:col>13</xdr:col>
      <xdr:colOff>21167</xdr:colOff>
      <xdr:row>17</xdr:row>
      <xdr:rowOff>158750</xdr:rowOff>
    </xdr:to>
    <xdr:graphicFrame macro="">
      <xdr:nvGraphicFramePr>
        <xdr:cNvPr id="13" name="Chart 19">
          <a:extLst>
            <a:ext uri="{FF2B5EF4-FFF2-40B4-BE49-F238E27FC236}">
              <a16:creationId xmlns:a16="http://schemas.microsoft.com/office/drawing/2014/main" id="{0E93FF97-3D5D-42D6-8A4B-33D3B362FF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oneCellAnchor>
    <xdr:from>
      <xdr:col>4</xdr:col>
      <xdr:colOff>212463</xdr:colOff>
      <xdr:row>57</xdr:row>
      <xdr:rowOff>5013</xdr:rowOff>
    </xdr:from>
    <xdr:ext cx="2269305" cy="591359"/>
    <xdr:pic>
      <xdr:nvPicPr>
        <xdr:cNvPr id="2" name="Picture 1">
          <a:extLst>
            <a:ext uri="{FF2B5EF4-FFF2-40B4-BE49-F238E27FC236}">
              <a16:creationId xmlns:a16="http://schemas.microsoft.com/office/drawing/2014/main" id="{D7A48AF3-DE6D-4327-BFCF-EC87D7C99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3163" y="10863513"/>
          <a:ext cx="2269305" cy="591359"/>
        </a:xfrm>
        <a:prstGeom prst="rect">
          <a:avLst/>
        </a:prstGeom>
      </xdr:spPr>
    </xdr:pic>
    <xdr:clientData/>
  </xdr:oneCellAnchor>
  <xdr:twoCellAnchor>
    <xdr:from>
      <xdr:col>0</xdr:col>
      <xdr:colOff>8282</xdr:colOff>
      <xdr:row>44</xdr:row>
      <xdr:rowOff>66262</xdr:rowOff>
    </xdr:from>
    <xdr:to>
      <xdr:col>13</xdr:col>
      <xdr:colOff>745435</xdr:colOff>
      <xdr:row>56</xdr:row>
      <xdr:rowOff>0</xdr:rowOff>
    </xdr:to>
    <xdr:graphicFrame macro="">
      <xdr:nvGraphicFramePr>
        <xdr:cNvPr id="3" name="Chart 19">
          <a:extLst>
            <a:ext uri="{FF2B5EF4-FFF2-40B4-BE49-F238E27FC236}">
              <a16:creationId xmlns:a16="http://schemas.microsoft.com/office/drawing/2014/main" id="{28BE7595-5F9B-4989-BEE3-0814D093E5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force-my.sharepoint.com/sites/Quality/Shared%20Documents/MEASUREMENT%20UNCERTAINTY/Load%20Cells%20(Transfer%20Standards)/Load%20Cell%2050751%20-%201,000k%20lbf/Blank%20Uncertainty%20Master_200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force-my.sharepoint.com/sites/Lab/Shared%20Documents/SOFTWARE%20LAB%20CONTROLLED/CURRENT/ISO%20376%20Calculator/ISO%20376%20Calculator%20v%208.2.5%20Backu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_Uncertainty_Master"/>
      <sheetName val="RISK"/>
    </sheetNames>
    <sheetDataSet>
      <sheetData sheetId="0">
        <row r="1">
          <cell r="M1" t="str">
            <v>Y</v>
          </cell>
          <cell r="N1">
            <v>0.68269999999999997</v>
          </cell>
        </row>
        <row r="2">
          <cell r="M2" t="str">
            <v>N</v>
          </cell>
          <cell r="N2">
            <v>0.95</v>
          </cell>
        </row>
        <row r="3">
          <cell r="N3">
            <v>0.95450000000000002</v>
          </cell>
        </row>
        <row r="4">
          <cell r="N4">
            <v>0.99</v>
          </cell>
        </row>
        <row r="5">
          <cell r="N5">
            <v>0.99729999999999996</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Entry"/>
      <sheetName val="Certificate"/>
    </sheetNames>
    <sheetDataSet>
      <sheetData sheetId="0">
        <row r="2">
          <cell r="C2" t="str">
            <v>Tinius Olsen</v>
          </cell>
        </row>
        <row r="11">
          <cell r="N11" t="str">
            <v>COMPRESSION</v>
          </cell>
        </row>
        <row r="22">
          <cell r="AO22" t="str">
            <v/>
          </cell>
          <cell r="AP22" t="str">
            <v/>
          </cell>
          <cell r="AQ22" t="str">
            <v/>
          </cell>
          <cell r="AR22" t="str">
            <v/>
          </cell>
          <cell r="AS22" t="str">
            <v/>
          </cell>
        </row>
        <row r="23">
          <cell r="AO23" t="str">
            <v/>
          </cell>
          <cell r="AP23" t="str">
            <v/>
          </cell>
          <cell r="AQ23" t="str">
            <v/>
          </cell>
          <cell r="AR23" t="str">
            <v/>
          </cell>
          <cell r="AS23" t="str">
            <v/>
          </cell>
        </row>
        <row r="24">
          <cell r="AO24" t="str">
            <v/>
          </cell>
          <cell r="AP24" t="str">
            <v/>
          </cell>
          <cell r="AQ24" t="str">
            <v/>
          </cell>
          <cell r="AR24" t="str">
            <v/>
          </cell>
          <cell r="AS24" t="str">
            <v/>
          </cell>
        </row>
        <row r="25">
          <cell r="AO25" t="str">
            <v/>
          </cell>
          <cell r="AP25" t="str">
            <v/>
          </cell>
          <cell r="AQ25" t="str">
            <v/>
          </cell>
          <cell r="AR25" t="str">
            <v/>
          </cell>
          <cell r="AS25" t="str">
            <v/>
          </cell>
        </row>
        <row r="26">
          <cell r="AO26" t="str">
            <v/>
          </cell>
          <cell r="AP26" t="str">
            <v/>
          </cell>
          <cell r="AQ26" t="str">
            <v/>
          </cell>
          <cell r="AR26" t="str">
            <v/>
          </cell>
          <cell r="AS26" t="str">
            <v/>
          </cell>
        </row>
        <row r="27">
          <cell r="AO27" t="str">
            <v/>
          </cell>
          <cell r="AP27" t="str">
            <v/>
          </cell>
          <cell r="AQ27" t="str">
            <v/>
          </cell>
          <cell r="AR27" t="str">
            <v/>
          </cell>
          <cell r="AS27" t="str">
            <v/>
          </cell>
        </row>
        <row r="28">
          <cell r="AO28" t="str">
            <v/>
          </cell>
          <cell r="AP28" t="str">
            <v/>
          </cell>
          <cell r="AQ28" t="str">
            <v/>
          </cell>
          <cell r="AR28" t="str">
            <v/>
          </cell>
          <cell r="AS28" t="str">
            <v/>
          </cell>
        </row>
        <row r="29">
          <cell r="AO29" t="str">
            <v/>
          </cell>
          <cell r="AP29" t="str">
            <v/>
          </cell>
          <cell r="AQ29" t="str">
            <v/>
          </cell>
          <cell r="AR29" t="str">
            <v/>
          </cell>
          <cell r="AS29" t="str">
            <v/>
          </cell>
        </row>
        <row r="30">
          <cell r="AO30" t="str">
            <v/>
          </cell>
          <cell r="AP30" t="str">
            <v/>
          </cell>
          <cell r="AQ30" t="str">
            <v/>
          </cell>
          <cell r="AR30" t="str">
            <v/>
          </cell>
          <cell r="AS30" t="str">
            <v/>
          </cell>
        </row>
        <row r="31">
          <cell r="AO31" t="str">
            <v/>
          </cell>
          <cell r="AP31" t="str">
            <v/>
          </cell>
          <cell r="AQ31" t="str">
            <v/>
          </cell>
          <cell r="AR31" t="str">
            <v/>
          </cell>
          <cell r="AS31" t="str">
            <v/>
          </cell>
        </row>
        <row r="32">
          <cell r="AO32" t="str">
            <v/>
          </cell>
          <cell r="AP32" t="str">
            <v/>
          </cell>
          <cell r="AQ32" t="str">
            <v/>
          </cell>
          <cell r="AR32" t="str">
            <v/>
          </cell>
          <cell r="AS32" t="str">
            <v/>
          </cell>
        </row>
        <row r="33">
          <cell r="AO33" t="str">
            <v/>
          </cell>
          <cell r="AP33" t="str">
            <v/>
          </cell>
          <cell r="AQ33" t="str">
            <v/>
          </cell>
          <cell r="AR33" t="str">
            <v/>
          </cell>
          <cell r="AS33" t="str">
            <v/>
          </cell>
        </row>
        <row r="34">
          <cell r="AO34" t="str">
            <v/>
          </cell>
          <cell r="AP34" t="str">
            <v/>
          </cell>
          <cell r="AQ34" t="str">
            <v/>
          </cell>
          <cell r="AR34" t="str">
            <v/>
          </cell>
          <cell r="AS34" t="str">
            <v/>
          </cell>
        </row>
        <row r="35">
          <cell r="AO35" t="str">
            <v/>
          </cell>
          <cell r="AP35" t="str">
            <v/>
          </cell>
          <cell r="AQ35" t="str">
            <v/>
          </cell>
          <cell r="AR35" t="str">
            <v/>
          </cell>
          <cell r="AS35" t="str">
            <v/>
          </cell>
        </row>
        <row r="72">
          <cell r="AO72" t="str">
            <v/>
          </cell>
          <cell r="AP72" t="str">
            <v/>
          </cell>
          <cell r="AQ72" t="str">
            <v/>
          </cell>
          <cell r="AR72" t="str">
            <v/>
          </cell>
          <cell r="AS72" t="str">
            <v/>
          </cell>
          <cell r="AT72" t="str">
            <v/>
          </cell>
        </row>
        <row r="73">
          <cell r="AO73" t="str">
            <v/>
          </cell>
          <cell r="AP73" t="str">
            <v/>
          </cell>
          <cell r="AQ73" t="str">
            <v/>
          </cell>
          <cell r="AR73" t="str">
            <v/>
          </cell>
          <cell r="AS73" t="str">
            <v/>
          </cell>
          <cell r="AT73" t="str">
            <v/>
          </cell>
        </row>
        <row r="74">
          <cell r="AO74" t="str">
            <v/>
          </cell>
          <cell r="AP74" t="str">
            <v/>
          </cell>
          <cell r="AQ74" t="str">
            <v/>
          </cell>
          <cell r="AR74" t="str">
            <v/>
          </cell>
          <cell r="AS74" t="str">
            <v/>
          </cell>
          <cell r="AT74" t="str">
            <v/>
          </cell>
        </row>
        <row r="75">
          <cell r="AO75" t="str">
            <v/>
          </cell>
          <cell r="AP75" t="str">
            <v/>
          </cell>
          <cell r="AQ75" t="str">
            <v/>
          </cell>
          <cell r="AR75" t="str">
            <v/>
          </cell>
          <cell r="AS75" t="str">
            <v/>
          </cell>
          <cell r="AT75" t="str">
            <v/>
          </cell>
        </row>
        <row r="76">
          <cell r="AO76" t="str">
            <v/>
          </cell>
          <cell r="AP76" t="str">
            <v/>
          </cell>
          <cell r="AQ76" t="str">
            <v/>
          </cell>
          <cell r="AR76" t="str">
            <v/>
          </cell>
          <cell r="AS76" t="str">
            <v/>
          </cell>
          <cell r="AT76" t="str">
            <v/>
          </cell>
        </row>
        <row r="77">
          <cell r="AO77" t="str">
            <v/>
          </cell>
          <cell r="AP77" t="str">
            <v/>
          </cell>
          <cell r="AQ77" t="str">
            <v/>
          </cell>
          <cell r="AR77" t="str">
            <v/>
          </cell>
          <cell r="AS77" t="str">
            <v/>
          </cell>
          <cell r="AT77" t="str">
            <v/>
          </cell>
        </row>
        <row r="78">
          <cell r="AO78" t="str">
            <v/>
          </cell>
          <cell r="AP78" t="str">
            <v/>
          </cell>
          <cell r="AQ78" t="str">
            <v/>
          </cell>
          <cell r="AR78" t="str">
            <v/>
          </cell>
          <cell r="AS78" t="str">
            <v/>
          </cell>
          <cell r="AT78" t="str">
            <v/>
          </cell>
        </row>
        <row r="79">
          <cell r="AO79" t="str">
            <v/>
          </cell>
          <cell r="AP79" t="str">
            <v/>
          </cell>
          <cell r="AQ79" t="str">
            <v/>
          </cell>
          <cell r="AR79" t="str">
            <v/>
          </cell>
          <cell r="AS79" t="str">
            <v/>
          </cell>
          <cell r="AT79" t="str">
            <v/>
          </cell>
        </row>
        <row r="80">
          <cell r="AO80" t="str">
            <v/>
          </cell>
          <cell r="AP80" t="str">
            <v/>
          </cell>
          <cell r="AQ80" t="str">
            <v/>
          </cell>
          <cell r="AR80" t="str">
            <v/>
          </cell>
          <cell r="AS80" t="str">
            <v/>
          </cell>
          <cell r="AT80" t="str">
            <v/>
          </cell>
        </row>
        <row r="81">
          <cell r="AO81" t="str">
            <v/>
          </cell>
          <cell r="AP81" t="str">
            <v/>
          </cell>
          <cell r="AQ81" t="str">
            <v/>
          </cell>
          <cell r="AR81" t="str">
            <v/>
          </cell>
          <cell r="AS81" t="str">
            <v/>
          </cell>
          <cell r="AT81" t="str">
            <v/>
          </cell>
        </row>
        <row r="82">
          <cell r="AO82" t="str">
            <v/>
          </cell>
          <cell r="AP82" t="str">
            <v/>
          </cell>
          <cell r="AQ82" t="str">
            <v/>
          </cell>
          <cell r="AR82" t="str">
            <v/>
          </cell>
          <cell r="AS82" t="str">
            <v/>
          </cell>
          <cell r="AT82" t="str">
            <v/>
          </cell>
        </row>
        <row r="83">
          <cell r="AO83" t="str">
            <v/>
          </cell>
          <cell r="AP83" t="str">
            <v/>
          </cell>
          <cell r="AQ83" t="str">
            <v/>
          </cell>
          <cell r="AR83" t="str">
            <v/>
          </cell>
          <cell r="AS83" t="str">
            <v/>
          </cell>
          <cell r="AT83" t="str">
            <v/>
          </cell>
        </row>
        <row r="84">
          <cell r="AO84" t="str">
            <v/>
          </cell>
          <cell r="AP84" t="str">
            <v/>
          </cell>
          <cell r="AQ84" t="str">
            <v/>
          </cell>
          <cell r="AR84" t="str">
            <v/>
          </cell>
          <cell r="AS84" t="str">
            <v/>
          </cell>
          <cell r="AT84" t="str">
            <v/>
          </cell>
        </row>
        <row r="85">
          <cell r="AO85" t="str">
            <v/>
          </cell>
          <cell r="AP85" t="str">
            <v/>
          </cell>
          <cell r="AQ85" t="str">
            <v/>
          </cell>
          <cell r="AR85" t="str">
            <v/>
          </cell>
          <cell r="AS85" t="str">
            <v/>
          </cell>
          <cell r="AT85" t="str">
            <v/>
          </cell>
        </row>
      </sheetData>
      <sheetData sheetId="1"/>
    </sheetDataSet>
  </externalBook>
</externalLink>
</file>

<file path=xl/persons/person.xml><?xml version="1.0" encoding="utf-8"?>
<personList xmlns="http://schemas.microsoft.com/office/spreadsheetml/2018/threadedcomments" xmlns:x="http://schemas.openxmlformats.org/spreadsheetml/2006/main">
  <person displayName="Henry A. Zumbrun" id="{955A2593-1094-4B1D-B0CD-74646290326C}" userId="Henry A. Zumbrun" providerId="None"/>
  <person displayName="Henry A. Zumbrun" id="{089625B1-F853-4E1E-8D02-54E3C722F39B}" userId="S::HZumbrun@mhforce.com::e67d580e-5812-434b-b48b-3ed7868c723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1" dT="2022-10-21T17:54:31.61" personId="{955A2593-1094-4B1D-B0CD-74646290326C}" id="{E2B1FAF0-D647-449B-B4D1-B2AD9E7AE3F3}">
    <text>This is the resolution we used for our repeatability study load cell</text>
  </threadedComment>
  <threadedComment ref="R22" dT="2024-07-24T15:13:52.30" personId="{089625B1-F853-4E1E-8D02-54E3C722F39B}" id="{C8168BA7-BC30-44E5-8F03-07E8C95DEF05}">
    <text>This is found on the certificate of calibration for ISO 376 certificates. It is optional to add this as the other MU contributors are likely to make the MU larger than the calculated fit</text>
  </threadedComment>
  <threadedComment ref="B24" dT="2022-10-21T17:57:18.97" personId="{955A2593-1094-4B1D-B0CD-74646290326C}" id="{25284614-FA29-4372-815B-E1AEC7EE7396}">
    <text xml:space="preserve">Used in UCM with less than 1/16 of an inch misalignment. 0.0625 * 0.0005 (load cell spec sheet)
You can use ½ - ¾  of the specification from the LC spec sheet, assuming that you are checking to make sure nothing is touching, tie bars on the side.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6CFE6-C127-47D9-9D99-2C94F6DCE270}">
  <dimension ref="A1:S67"/>
  <sheetViews>
    <sheetView topLeftCell="A26" workbookViewId="0">
      <selection activeCell="B65" sqref="B65"/>
    </sheetView>
  </sheetViews>
  <sheetFormatPr defaultRowHeight="15" x14ac:dyDescent="0.25"/>
  <cols>
    <col min="1" max="1" width="26.7109375" customWidth="1"/>
    <col min="2" max="2" width="45.28515625" customWidth="1"/>
    <col min="3" max="3" width="103.28515625" customWidth="1"/>
  </cols>
  <sheetData>
    <row r="1" spans="1:3" ht="86.45" customHeight="1" x14ac:dyDescent="0.25">
      <c r="A1" s="595" t="s">
        <v>248</v>
      </c>
      <c r="B1" s="595"/>
      <c r="C1" s="595"/>
    </row>
    <row r="3" spans="1:3" x14ac:dyDescent="0.25">
      <c r="A3" s="596" t="s">
        <v>260</v>
      </c>
      <c r="B3" s="596"/>
      <c r="C3" s="596"/>
    </row>
    <row r="4" spans="1:3" ht="31.15" customHeight="1" x14ac:dyDescent="0.25">
      <c r="A4" s="597" t="s">
        <v>201</v>
      </c>
      <c r="B4" s="598"/>
      <c r="C4" s="599"/>
    </row>
    <row r="5" spans="1:3" s="37" customFormat="1" x14ac:dyDescent="0.25">
      <c r="A5" s="200" t="s">
        <v>202</v>
      </c>
      <c r="B5" s="200" t="s">
        <v>203</v>
      </c>
      <c r="C5" s="200" t="s">
        <v>204</v>
      </c>
    </row>
    <row r="6" spans="1:3" x14ac:dyDescent="0.25">
      <c r="A6" s="199" t="s">
        <v>205</v>
      </c>
      <c r="B6" s="199" t="s">
        <v>24</v>
      </c>
      <c r="C6" s="199"/>
    </row>
    <row r="7" spans="1:3" x14ac:dyDescent="0.25">
      <c r="A7" s="199" t="s">
        <v>206</v>
      </c>
      <c r="B7" s="199" t="s">
        <v>102</v>
      </c>
      <c r="C7" s="199"/>
    </row>
    <row r="8" spans="1:3" x14ac:dyDescent="0.25">
      <c r="A8" s="199" t="s">
        <v>207</v>
      </c>
      <c r="B8" s="199" t="s">
        <v>29</v>
      </c>
      <c r="C8" s="199"/>
    </row>
    <row r="9" spans="1:3" x14ac:dyDescent="0.25">
      <c r="A9" s="199" t="s">
        <v>208</v>
      </c>
      <c r="B9" s="199" t="s">
        <v>360</v>
      </c>
      <c r="C9" s="199"/>
    </row>
    <row r="10" spans="1:3" x14ac:dyDescent="0.25">
      <c r="A10" s="199" t="s">
        <v>209</v>
      </c>
      <c r="B10" s="199" t="s">
        <v>361</v>
      </c>
      <c r="C10" s="199"/>
    </row>
    <row r="11" spans="1:3" ht="45" x14ac:dyDescent="0.25">
      <c r="A11" s="199" t="s">
        <v>210</v>
      </c>
      <c r="B11" s="199" t="s">
        <v>58</v>
      </c>
      <c r="C11" s="201" t="s">
        <v>211</v>
      </c>
    </row>
    <row r="12" spans="1:3" x14ac:dyDescent="0.25">
      <c r="A12" s="199" t="s">
        <v>212</v>
      </c>
      <c r="B12" s="199" t="s">
        <v>213</v>
      </c>
      <c r="C12" s="199" t="s">
        <v>214</v>
      </c>
    </row>
    <row r="13" spans="1:3" ht="45" x14ac:dyDescent="0.25">
      <c r="A13" s="199" t="s">
        <v>215</v>
      </c>
      <c r="B13" s="199" t="s">
        <v>216</v>
      </c>
      <c r="C13" s="201" t="s">
        <v>362</v>
      </c>
    </row>
    <row r="14" spans="1:3" x14ac:dyDescent="0.25">
      <c r="A14" s="199" t="s">
        <v>217</v>
      </c>
      <c r="B14" s="199" t="s">
        <v>218</v>
      </c>
      <c r="C14" s="199" t="s">
        <v>219</v>
      </c>
    </row>
    <row r="15" spans="1:3" x14ac:dyDescent="0.25">
      <c r="A15" s="199" t="s">
        <v>220</v>
      </c>
      <c r="B15" s="199" t="s">
        <v>104</v>
      </c>
      <c r="C15" s="199" t="s">
        <v>105</v>
      </c>
    </row>
    <row r="16" spans="1:3" ht="75" x14ac:dyDescent="0.25">
      <c r="A16" s="199" t="s">
        <v>221</v>
      </c>
      <c r="B16" s="201" t="s">
        <v>222</v>
      </c>
      <c r="C16" s="201" t="s">
        <v>246</v>
      </c>
    </row>
    <row r="17" spans="1:3" ht="45" x14ac:dyDescent="0.25">
      <c r="A17" s="199" t="s">
        <v>223</v>
      </c>
      <c r="B17" s="199" t="s">
        <v>194</v>
      </c>
      <c r="C17" s="201" t="s">
        <v>224</v>
      </c>
    </row>
    <row r="18" spans="1:3" ht="60" x14ac:dyDescent="0.25">
      <c r="A18" s="199" t="s">
        <v>225</v>
      </c>
      <c r="B18" s="199" t="s">
        <v>363</v>
      </c>
      <c r="C18" s="201" t="s">
        <v>249</v>
      </c>
    </row>
    <row r="19" spans="1:3" ht="60" x14ac:dyDescent="0.25">
      <c r="A19" s="199" t="s">
        <v>226</v>
      </c>
      <c r="B19" s="199" t="s">
        <v>174</v>
      </c>
      <c r="C19" s="201" t="s">
        <v>247</v>
      </c>
    </row>
    <row r="20" spans="1:3" ht="30" x14ac:dyDescent="0.25">
      <c r="A20" s="199" t="s">
        <v>227</v>
      </c>
      <c r="B20" s="201" t="s">
        <v>228</v>
      </c>
      <c r="C20" s="201" t="s">
        <v>229</v>
      </c>
    </row>
    <row r="21" spans="1:3" x14ac:dyDescent="0.25">
      <c r="A21" s="199" t="s">
        <v>554</v>
      </c>
      <c r="B21" s="201" t="s">
        <v>555</v>
      </c>
      <c r="C21" s="201" t="s">
        <v>556</v>
      </c>
    </row>
    <row r="22" spans="1:3" ht="75" x14ac:dyDescent="0.25">
      <c r="A22" s="199" t="s">
        <v>230</v>
      </c>
      <c r="B22" s="199" t="s">
        <v>91</v>
      </c>
      <c r="C22" s="201" t="s">
        <v>231</v>
      </c>
    </row>
    <row r="23" spans="1:3" ht="30" x14ac:dyDescent="0.25">
      <c r="A23" s="199" t="s">
        <v>232</v>
      </c>
      <c r="B23" s="199" t="s">
        <v>197</v>
      </c>
      <c r="C23" s="201" t="s">
        <v>364</v>
      </c>
    </row>
    <row r="24" spans="1:3" x14ac:dyDescent="0.25">
      <c r="A24" s="199" t="s">
        <v>525</v>
      </c>
      <c r="B24" s="199"/>
      <c r="C24" s="201" t="s">
        <v>526</v>
      </c>
    </row>
    <row r="25" spans="1:3" x14ac:dyDescent="0.25">
      <c r="A25" s="199" t="s">
        <v>233</v>
      </c>
      <c r="B25" s="199" t="s">
        <v>42</v>
      </c>
      <c r="C25" s="201" t="s">
        <v>234</v>
      </c>
    </row>
    <row r="26" spans="1:3" ht="240" x14ac:dyDescent="0.25">
      <c r="A26" s="199" t="s">
        <v>235</v>
      </c>
      <c r="B26" s="199" t="s">
        <v>236</v>
      </c>
      <c r="C26" s="201" t="s">
        <v>365</v>
      </c>
    </row>
    <row r="27" spans="1:3" ht="30" x14ac:dyDescent="0.25">
      <c r="A27" s="199" t="s">
        <v>237</v>
      </c>
      <c r="B27" s="199" t="s">
        <v>238</v>
      </c>
      <c r="C27" s="201" t="s">
        <v>239</v>
      </c>
    </row>
    <row r="28" spans="1:3" x14ac:dyDescent="0.25">
      <c r="A28" s="199" t="s">
        <v>240</v>
      </c>
      <c r="B28" s="199" t="s">
        <v>139</v>
      </c>
      <c r="C28" s="201" t="s">
        <v>241</v>
      </c>
    </row>
    <row r="30" spans="1:3" x14ac:dyDescent="0.25">
      <c r="A30" s="596" t="s">
        <v>242</v>
      </c>
      <c r="B30" s="596"/>
      <c r="C30" s="596"/>
    </row>
    <row r="31" spans="1:3" x14ac:dyDescent="0.25">
      <c r="A31" s="200" t="s">
        <v>202</v>
      </c>
      <c r="B31" s="200" t="s">
        <v>203</v>
      </c>
      <c r="C31" s="200" t="s">
        <v>204</v>
      </c>
    </row>
    <row r="32" spans="1:3" ht="30" x14ac:dyDescent="0.25">
      <c r="A32" s="199" t="s">
        <v>243</v>
      </c>
      <c r="B32" s="199" t="s">
        <v>2</v>
      </c>
      <c r="C32" s="201" t="s">
        <v>244</v>
      </c>
    </row>
    <row r="33" spans="1:3" x14ac:dyDescent="0.25">
      <c r="A33" s="199"/>
      <c r="B33" s="199"/>
      <c r="C33" s="201"/>
    </row>
    <row r="34" spans="1:3" ht="14.45" customHeight="1" x14ac:dyDescent="0.25">
      <c r="A34" s="600" t="s">
        <v>317</v>
      </c>
      <c r="B34" s="600"/>
      <c r="C34" s="600"/>
    </row>
    <row r="35" spans="1:3" ht="200.45" customHeight="1" x14ac:dyDescent="0.25">
      <c r="A35" s="593" t="s">
        <v>318</v>
      </c>
      <c r="B35" s="593"/>
      <c r="C35" s="594"/>
    </row>
    <row r="36" spans="1:3" x14ac:dyDescent="0.25">
      <c r="A36" s="200" t="s">
        <v>202</v>
      </c>
      <c r="B36" s="200" t="s">
        <v>203</v>
      </c>
      <c r="C36" s="200" t="s">
        <v>204</v>
      </c>
    </row>
    <row r="37" spans="1:3" ht="54.75" customHeight="1" x14ac:dyDescent="0.25">
      <c r="A37" s="199" t="s">
        <v>353</v>
      </c>
      <c r="B37" s="262" t="s">
        <v>354</v>
      </c>
      <c r="C37" s="262" t="s">
        <v>355</v>
      </c>
    </row>
    <row r="38" spans="1:3" ht="70.150000000000006" customHeight="1" x14ac:dyDescent="0.25">
      <c r="A38" s="199" t="s">
        <v>347</v>
      </c>
      <c r="B38" s="201" t="s">
        <v>348</v>
      </c>
      <c r="C38" s="229" t="s">
        <v>352</v>
      </c>
    </row>
    <row r="39" spans="1:3" ht="70.150000000000006" customHeight="1" x14ac:dyDescent="0.25">
      <c r="A39" s="199" t="s">
        <v>261</v>
      </c>
      <c r="B39" s="201" t="s">
        <v>263</v>
      </c>
      <c r="C39" s="229" t="s">
        <v>319</v>
      </c>
    </row>
    <row r="40" spans="1:3" ht="70.150000000000006" customHeight="1" x14ac:dyDescent="0.25">
      <c r="A40" s="199" t="s">
        <v>349</v>
      </c>
      <c r="B40" s="201" t="s">
        <v>350</v>
      </c>
      <c r="C40" s="229" t="s">
        <v>351</v>
      </c>
    </row>
    <row r="41" spans="1:3" ht="60" x14ac:dyDescent="0.25">
      <c r="A41" s="199" t="s">
        <v>262</v>
      </c>
      <c r="B41" s="199" t="s">
        <v>264</v>
      </c>
      <c r="C41" s="229" t="s">
        <v>320</v>
      </c>
    </row>
    <row r="42" spans="1:3" x14ac:dyDescent="0.25">
      <c r="A42" s="595"/>
      <c r="B42" s="595"/>
      <c r="C42" s="595"/>
    </row>
    <row r="43" spans="1:3" ht="14.45" customHeight="1" x14ac:dyDescent="0.25">
      <c r="A43" s="601" t="s">
        <v>321</v>
      </c>
      <c r="B43" s="601"/>
      <c r="C43" s="601"/>
    </row>
    <row r="44" spans="1:3" ht="46.9" customHeight="1" x14ac:dyDescent="0.25">
      <c r="A44" s="593" t="s">
        <v>324</v>
      </c>
      <c r="B44" s="593"/>
      <c r="C44" s="594"/>
    </row>
    <row r="45" spans="1:3" x14ac:dyDescent="0.25">
      <c r="A45" s="200" t="s">
        <v>202</v>
      </c>
      <c r="B45" s="200" t="s">
        <v>203</v>
      </c>
      <c r="C45" s="200" t="s">
        <v>204</v>
      </c>
    </row>
    <row r="46" spans="1:3" x14ac:dyDescent="0.25">
      <c r="A46" s="199" t="s">
        <v>356</v>
      </c>
      <c r="B46" s="199" t="s">
        <v>357</v>
      </c>
      <c r="C46" s="199" t="s">
        <v>358</v>
      </c>
    </row>
    <row r="47" spans="1:3" x14ac:dyDescent="0.25">
      <c r="A47" s="199" t="s">
        <v>322</v>
      </c>
      <c r="B47" s="201" t="s">
        <v>323</v>
      </c>
      <c r="C47" s="229" t="s">
        <v>329</v>
      </c>
    </row>
    <row r="48" spans="1:3" ht="195" x14ac:dyDescent="0.25">
      <c r="A48" s="199" t="s">
        <v>403</v>
      </c>
      <c r="B48" s="201" t="s">
        <v>160</v>
      </c>
      <c r="C48" s="229" t="s">
        <v>325</v>
      </c>
    </row>
    <row r="50" spans="1:19" x14ac:dyDescent="0.25">
      <c r="A50" s="604" t="s">
        <v>326</v>
      </c>
      <c r="B50" s="604"/>
      <c r="C50" s="604"/>
    </row>
    <row r="51" spans="1:19" ht="31.15" customHeight="1" x14ac:dyDescent="0.25">
      <c r="A51" s="606" t="s">
        <v>327</v>
      </c>
      <c r="B51" s="606"/>
      <c r="C51" s="606"/>
    </row>
    <row r="52" spans="1:19" ht="16.149999999999999" customHeight="1" x14ac:dyDescent="0.25">
      <c r="A52" s="605" t="s">
        <v>328</v>
      </c>
      <c r="B52" s="605"/>
      <c r="C52" s="605"/>
    </row>
    <row r="53" spans="1:19" x14ac:dyDescent="0.25">
      <c r="C53" s="203"/>
    </row>
    <row r="55" spans="1:19" x14ac:dyDescent="0.25">
      <c r="A55" s="37" t="s">
        <v>518</v>
      </c>
      <c r="B55" s="37"/>
      <c r="C55" s="37"/>
    </row>
    <row r="56" spans="1:19" x14ac:dyDescent="0.25">
      <c r="A56" s="208" t="s">
        <v>60</v>
      </c>
      <c r="B56" s="602" t="s">
        <v>189</v>
      </c>
      <c r="C56" s="602"/>
      <c r="D56" s="34"/>
      <c r="E56" s="34"/>
      <c r="F56" s="34"/>
      <c r="G56" s="34"/>
      <c r="H56" s="34"/>
      <c r="I56" s="34"/>
      <c r="J56" s="34"/>
      <c r="K56" s="34"/>
      <c r="L56" s="34"/>
      <c r="M56" s="34"/>
      <c r="N56" s="34"/>
      <c r="O56" s="34"/>
      <c r="P56" s="34"/>
      <c r="Q56" s="34"/>
      <c r="R56" s="34"/>
      <c r="S56" s="34"/>
    </row>
    <row r="57" spans="1:19" ht="14.45" customHeight="1" x14ac:dyDescent="0.25">
      <c r="A57" s="230" t="s">
        <v>188</v>
      </c>
      <c r="B57" s="595" t="s">
        <v>190</v>
      </c>
      <c r="C57" s="595"/>
    </row>
    <row r="58" spans="1:19" x14ac:dyDescent="0.25">
      <c r="A58" s="230" t="s">
        <v>330</v>
      </c>
      <c r="B58" s="603" t="s">
        <v>331</v>
      </c>
      <c r="C58" s="603"/>
    </row>
    <row r="59" spans="1:19" x14ac:dyDescent="0.25">
      <c r="A59" s="230" t="s">
        <v>401</v>
      </c>
      <c r="B59" t="s">
        <v>359</v>
      </c>
    </row>
    <row r="60" spans="1:19" x14ac:dyDescent="0.25">
      <c r="A60" s="230" t="s">
        <v>400</v>
      </c>
      <c r="B60" t="s">
        <v>402</v>
      </c>
    </row>
    <row r="61" spans="1:19" x14ac:dyDescent="0.25">
      <c r="A61" s="230" t="s">
        <v>520</v>
      </c>
      <c r="B61" t="s">
        <v>519</v>
      </c>
    </row>
    <row r="63" spans="1:19" x14ac:dyDescent="0.25">
      <c r="A63" s="208" t="s">
        <v>521</v>
      </c>
    </row>
    <row r="64" spans="1:19" x14ac:dyDescent="0.25">
      <c r="A64" s="230" t="s">
        <v>413</v>
      </c>
      <c r="B64" t="s">
        <v>522</v>
      </c>
    </row>
    <row r="65" spans="1:2" x14ac:dyDescent="0.25">
      <c r="A65" s="230" t="s">
        <v>530</v>
      </c>
      <c r="B65" t="s">
        <v>524</v>
      </c>
    </row>
    <row r="66" spans="1:2" x14ac:dyDescent="0.25">
      <c r="A66" s="230" t="s">
        <v>531</v>
      </c>
      <c r="B66" t="s">
        <v>547</v>
      </c>
    </row>
    <row r="67" spans="1:2" x14ac:dyDescent="0.25">
      <c r="A67" s="230" t="s">
        <v>558</v>
      </c>
      <c r="B67" t="s">
        <v>563</v>
      </c>
    </row>
  </sheetData>
  <mergeCells count="15">
    <mergeCell ref="B57:C57"/>
    <mergeCell ref="B56:C56"/>
    <mergeCell ref="B58:C58"/>
    <mergeCell ref="A50:C50"/>
    <mergeCell ref="A52:C52"/>
    <mergeCell ref="A51:C51"/>
    <mergeCell ref="A35:C35"/>
    <mergeCell ref="A44:C44"/>
    <mergeCell ref="A1:C1"/>
    <mergeCell ref="A3:C3"/>
    <mergeCell ref="A4:C4"/>
    <mergeCell ref="A30:C30"/>
    <mergeCell ref="A34:C34"/>
    <mergeCell ref="A42:C42"/>
    <mergeCell ref="A43:C4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O33"/>
  <sheetViews>
    <sheetView topLeftCell="A16" zoomScale="136" zoomScaleNormal="136" workbookViewId="0">
      <selection activeCell="A21" sqref="A21"/>
    </sheetView>
  </sheetViews>
  <sheetFormatPr defaultRowHeight="15" x14ac:dyDescent="0.25"/>
  <cols>
    <col min="1" max="1" width="34" customWidth="1"/>
    <col min="2" max="2" width="15.5703125" customWidth="1"/>
    <col min="3" max="3" width="10"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755" t="s">
        <v>23</v>
      </c>
      <c r="B1" s="755"/>
      <c r="C1" s="755"/>
      <c r="D1" s="755"/>
      <c r="E1" s="755"/>
      <c r="F1" s="755"/>
      <c r="G1" s="755"/>
      <c r="H1" s="755"/>
      <c r="I1" s="755"/>
      <c r="J1" s="755"/>
      <c r="K1" s="335" t="s">
        <v>549</v>
      </c>
      <c r="L1" s="336">
        <v>1</v>
      </c>
      <c r="M1" s="470"/>
      <c r="N1" s="471">
        <v>0.68269999999999997</v>
      </c>
      <c r="O1" s="470"/>
    </row>
    <row r="2" spans="1:15" x14ac:dyDescent="0.25">
      <c r="A2" s="1" t="s">
        <v>24</v>
      </c>
      <c r="B2" s="624" t="s">
        <v>48</v>
      </c>
      <c r="C2" s="624"/>
      <c r="D2" s="624"/>
      <c r="E2" s="624"/>
      <c r="F2" s="624"/>
      <c r="G2" s="624"/>
      <c r="H2" s="624"/>
      <c r="I2" s="624"/>
      <c r="J2" s="624"/>
      <c r="K2" s="335" t="s">
        <v>550</v>
      </c>
      <c r="L2" s="336">
        <v>1.96</v>
      </c>
      <c r="M2" s="470"/>
      <c r="N2" s="472">
        <v>0.95</v>
      </c>
      <c r="O2" s="470"/>
    </row>
    <row r="3" spans="1:15"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row>
    <row r="4" spans="1:15" x14ac:dyDescent="0.25">
      <c r="A4" s="1" t="s">
        <v>28</v>
      </c>
      <c r="B4" s="3" t="s">
        <v>49</v>
      </c>
      <c r="C4" s="691" t="s">
        <v>30</v>
      </c>
      <c r="D4" s="757"/>
      <c r="E4" s="757"/>
      <c r="F4" s="757"/>
      <c r="G4" s="757"/>
      <c r="H4" s="757"/>
      <c r="I4" s="757"/>
      <c r="J4" s="757"/>
      <c r="K4" s="335" t="s">
        <v>552</v>
      </c>
      <c r="L4" s="335">
        <v>2.5779999999999998</v>
      </c>
      <c r="M4" s="470"/>
      <c r="N4" s="472">
        <v>0.99</v>
      </c>
      <c r="O4" s="470"/>
    </row>
    <row r="5" spans="1:15" x14ac:dyDescent="0.25">
      <c r="A5" s="1" t="s">
        <v>29</v>
      </c>
      <c r="B5" s="32">
        <f>'Uncertainty Worksheet'!B51</f>
        <v>0</v>
      </c>
      <c r="C5" s="691"/>
      <c r="D5" s="757"/>
      <c r="E5" s="757"/>
      <c r="F5" s="757"/>
      <c r="G5" s="757"/>
      <c r="H5" s="757"/>
      <c r="I5" s="757"/>
      <c r="J5" s="757"/>
      <c r="K5" s="335" t="s">
        <v>553</v>
      </c>
      <c r="L5" s="336">
        <v>3</v>
      </c>
      <c r="M5" s="470"/>
      <c r="N5" s="471">
        <v>0.99729999999999996</v>
      </c>
      <c r="O5" s="470"/>
    </row>
    <row r="6" spans="1:15" ht="45" x14ac:dyDescent="0.25">
      <c r="A6" s="1" t="s">
        <v>22</v>
      </c>
      <c r="B6" s="1" t="s">
        <v>0</v>
      </c>
      <c r="C6" s="1" t="s">
        <v>1</v>
      </c>
      <c r="D6" s="1" t="s">
        <v>2</v>
      </c>
      <c r="E6" s="1" t="s">
        <v>3</v>
      </c>
      <c r="F6" s="1" t="s">
        <v>4</v>
      </c>
      <c r="G6" s="1" t="s">
        <v>5</v>
      </c>
      <c r="H6" s="1" t="s">
        <v>32</v>
      </c>
      <c r="I6" s="2" t="s">
        <v>6</v>
      </c>
      <c r="J6" s="1" t="s">
        <v>31</v>
      </c>
      <c r="K6" s="335" t="s">
        <v>18</v>
      </c>
      <c r="L6" s="335">
        <v>0</v>
      </c>
      <c r="M6" s="470"/>
      <c r="N6" s="470"/>
      <c r="O6" s="470"/>
    </row>
    <row r="7" spans="1:15" x14ac:dyDescent="0.25">
      <c r="A7" s="1" t="str">
        <f>'R &amp; R Between Techs'!A7</f>
        <v>Repeatability Between Techs</v>
      </c>
      <c r="B7" s="1" t="e">
        <f>'R &amp; R Between Techs'!D63</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row>
    <row r="8" spans="1:15" x14ac:dyDescent="0.25">
      <c r="A8" s="62" t="str">
        <f>'R &amp; R Between Techs'!A8</f>
        <v>Reproducibility Between Techs</v>
      </c>
      <c r="B8" s="62" t="e">
        <f>'R &amp; R Between Techs'!E63</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row>
    <row r="9" spans="1:15" x14ac:dyDescent="0.25">
      <c r="A9" s="76"/>
      <c r="B9" s="77"/>
      <c r="C9" s="78"/>
      <c r="D9" s="79"/>
      <c r="E9" s="80"/>
      <c r="F9" s="61"/>
      <c r="G9" s="81"/>
      <c r="H9" s="81"/>
      <c r="I9" s="82"/>
      <c r="J9" s="83"/>
      <c r="K9" s="335" t="s">
        <v>8</v>
      </c>
      <c r="L9" s="336">
        <v>1</v>
      </c>
      <c r="M9" s="470"/>
      <c r="N9" s="470"/>
      <c r="O9" s="470"/>
    </row>
    <row r="10" spans="1:15"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row>
    <row r="11" spans="1:15" x14ac:dyDescent="0.25">
      <c r="A11" s="13" t="str">
        <f>'Uncertainty Worksheet'!A55</f>
        <v>ASTM E74 LLF</v>
      </c>
      <c r="B11" s="18">
        <f>IF(A11="ASTM E74 LLF",'Uncertainty Worksheet'!B55,
   IF(A11="ISO 376 Uncertainty",'Uncertainty Worksheet'!X30,
   IF(A11="ISO 376 % or % Per Point",'Uncertainty Worksheet'!M18,0)))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row>
    <row r="12" spans="1:15"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row>
    <row r="13" spans="1:15" x14ac:dyDescent="0.25">
      <c r="A13" s="13" t="str">
        <f>'Uncertainty Worksheet'!A57</f>
        <v>Environmental Conditions</v>
      </c>
      <c r="B13" s="18">
        <f>'Uncertainty Worksheet'!T10</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row>
    <row r="14" spans="1:15" x14ac:dyDescent="0.25">
      <c r="A14" s="13" t="str">
        <f>'Uncertainty Worksheet'!A58</f>
        <v>Stability of  Ref Standard</v>
      </c>
      <c r="B14" s="18" t="str">
        <f>'Uncertainty Worksheet'!Q10</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row>
    <row r="15" spans="1:15"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row>
    <row r="16" spans="1:15" ht="30" x14ac:dyDescent="0.25">
      <c r="A16" s="13" t="str">
        <f>'Uncertainty Worksheet'!A60</f>
        <v>Non ASTM or ISO 376 (Tolerance,Non-Linearity,SEB)</v>
      </c>
      <c r="B16" s="18" t="str">
        <f>'Uncertainty Worksheet'!R87</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Worksheet'!R53)</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06" t="s">
        <v>52</v>
      </c>
      <c r="E19" s="619"/>
      <c r="F19" s="620"/>
      <c r="G19" s="20">
        <f>SQRT(H19)</f>
        <v>6.9282032302755096E-3</v>
      </c>
      <c r="H19" s="21">
        <f>SUM(H7:H18)</f>
        <v>4.8000000000000008E-5</v>
      </c>
      <c r="I19" s="17">
        <f>SUM(I7:I18)</f>
        <v>1</v>
      </c>
      <c r="J19" s="16">
        <f>SUM(J7:J18)</f>
        <v>1.1520000000000004E-11</v>
      </c>
    </row>
    <row r="20" spans="1:13" x14ac:dyDescent="0.25">
      <c r="A20" s="7"/>
      <c r="B20" s="7"/>
      <c r="D20" s="644" t="s">
        <v>12</v>
      </c>
      <c r="E20" s="644"/>
      <c r="F20" s="644"/>
      <c r="G20" s="14">
        <f>IF(ISERROR(INT(G19^4/J19)), " ", INT(G19^4/J19))</f>
        <v>200</v>
      </c>
      <c r="H20" s="21"/>
      <c r="I20" s="6"/>
      <c r="J20" s="6"/>
    </row>
    <row r="21" spans="1:13" x14ac:dyDescent="0.25">
      <c r="A21" s="29"/>
      <c r="B21" s="7"/>
      <c r="D21" s="764" t="s">
        <v>538</v>
      </c>
      <c r="E21" s="765"/>
      <c r="F21" s="256">
        <f>'R &amp; R Between Techs'!F21</f>
        <v>0.95450000000000002</v>
      </c>
      <c r="G21" s="250">
        <f>IF(ISERROR(TINV((1-F21),G20)), " ", TINV((1-F21),G20))</f>
        <v>2.0125794050712815</v>
      </c>
      <c r="H21" s="25"/>
      <c r="I21" s="6"/>
      <c r="J21" s="6"/>
    </row>
    <row r="22" spans="1:13" x14ac:dyDescent="0.25">
      <c r="A22" s="7"/>
      <c r="B22" s="7"/>
      <c r="D22" s="692" t="s">
        <v>77</v>
      </c>
      <c r="E22" s="692"/>
      <c r="F22" s="692"/>
      <c r="G22" s="28">
        <f>IF(ISERROR(G19*G21), " ", G19*G21)</f>
        <v>1.3943559135400817E-2</v>
      </c>
      <c r="H22" s="30" t="e">
        <f>G22/(MAX(B25:B25))</f>
        <v>#DIV/0!</v>
      </c>
    </row>
    <row r="23" spans="1:13" x14ac:dyDescent="0.25">
      <c r="A23" s="677" t="s">
        <v>150</v>
      </c>
      <c r="B23" s="678"/>
      <c r="C23" s="678"/>
      <c r="D23" s="678"/>
      <c r="E23" s="678"/>
      <c r="F23" s="678"/>
      <c r="G23" s="678"/>
      <c r="H23" s="678"/>
      <c r="I23" s="678"/>
      <c r="J23" s="678"/>
      <c r="K23" s="678"/>
      <c r="L23" s="679"/>
    </row>
    <row r="24" spans="1:13" x14ac:dyDescent="0.25">
      <c r="A24" s="4">
        <v>4</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60">
        <f>'Uncertainty Worksheet'!B72</f>
        <v>0</v>
      </c>
      <c r="C25" s="460" t="str">
        <f>'Uncertainty Worksheet'!C72</f>
        <v/>
      </c>
      <c r="D25" s="460" t="str">
        <f>'Uncertainty Worksheet'!D72</f>
        <v/>
      </c>
      <c r="E25" s="460" t="str">
        <f>'Uncertainty Worksheet'!E72</f>
        <v/>
      </c>
      <c r="F25" s="460" t="str">
        <f>'Uncertainty Worksheet'!F72</f>
        <v/>
      </c>
      <c r="G25" s="460" t="str">
        <f>'Uncertainty Worksheet'!G72</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3" x14ac:dyDescent="0.25">
      <c r="C26" t="str">
        <f>IF(ISERROR(STDEV(I25:I25)), " ", STDEV(I25:I25))</f>
        <v xml:space="preserve"> </v>
      </c>
      <c r="D26" s="761" t="s">
        <v>45</v>
      </c>
      <c r="E26" s="762"/>
      <c r="F26" s="763"/>
      <c r="G26" s="454" t="e">
        <f>SQRT((SUMSQ(I25:I25)/COUNT(I25:I25)))</f>
        <v>#DIV/0!</v>
      </c>
      <c r="I26" s="232"/>
      <c r="J26" s="343" t="str">
        <f>IF(ISERROR(STDEV(J25:J25)), " ", STDEV(J25:J25))</f>
        <v xml:space="preserve"> </v>
      </c>
      <c r="K26" s="343" t="str">
        <f>IF(ISERROR(STDEV(K25:K25)), " ", STDEV(K25:K25))</f>
        <v xml:space="preserve"> </v>
      </c>
    </row>
    <row r="29" spans="1:13" x14ac:dyDescent="0.25">
      <c r="A29" s="58" t="s">
        <v>112</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34" priority="1" operator="greaterThan">
      <formula>999</formula>
    </cfRule>
    <cfRule type="cellIs" dxfId="33" priority="2" operator="greaterThan">
      <formula>1000</formula>
    </cfRule>
    <cfRule type="cellIs" dxfId="32"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700-000000000000}">
      <formula1>$K$1:$K$12</formula1>
    </dataValidation>
    <dataValidation type="list" allowBlank="1" showInputMessage="1" showErrorMessage="1" promptTitle="Select Confidence Interval" prompt="Select Confidence Interval. Default is 95.45%" sqref="F21" xr:uid="{F65F98F5-172A-4476-8D87-B44EF0988AB4}">
      <formula1>$N$1:$N$5</formula1>
    </dataValidation>
  </dataValidations>
  <pageMargins left="0.7" right="0.7" top="0.75" bottom="0.75" header="0.3" footer="0.3"/>
  <pageSetup scale="64" fitToHeight="0" orientation="landscape" r:id="rId1"/>
  <ignoredErrors>
    <ignoredError sqref="B25:G25 F21 B5 D3 D7:D8 C10:C18 D10:D18 F11 F17 A10:A18" unlockedFormula="1"/>
    <ignoredError sqref="B7:B8 K25:L25 G26" evalError="1"/>
    <ignoredError sqref="B10:B18" evalError="1" unlockedFormula="1"/>
    <ignoredError sqref="E17" formula="1"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O33"/>
  <sheetViews>
    <sheetView topLeftCell="A7" zoomScale="136" zoomScaleNormal="136" workbookViewId="0">
      <selection activeCell="A25" sqref="A25"/>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755" t="s">
        <v>23</v>
      </c>
      <c r="B1" s="755"/>
      <c r="C1" s="755"/>
      <c r="D1" s="755"/>
      <c r="E1" s="755"/>
      <c r="F1" s="755"/>
      <c r="G1" s="755"/>
      <c r="H1" s="755"/>
      <c r="I1" s="755"/>
      <c r="J1" s="755"/>
      <c r="K1" s="335" t="s">
        <v>549</v>
      </c>
      <c r="L1" s="336">
        <v>1</v>
      </c>
      <c r="M1" s="470"/>
      <c r="N1" s="471">
        <v>0.68269999999999997</v>
      </c>
      <c r="O1" s="470"/>
    </row>
    <row r="2" spans="1:15" x14ac:dyDescent="0.25">
      <c r="A2" s="1" t="s">
        <v>24</v>
      </c>
      <c r="B2" s="624" t="s">
        <v>48</v>
      </c>
      <c r="C2" s="624"/>
      <c r="D2" s="624"/>
      <c r="E2" s="624"/>
      <c r="F2" s="624"/>
      <c r="G2" s="624"/>
      <c r="H2" s="624"/>
      <c r="I2" s="624"/>
      <c r="J2" s="624"/>
      <c r="K2" s="335" t="s">
        <v>550</v>
      </c>
      <c r="L2" s="336">
        <v>1.96</v>
      </c>
      <c r="M2" s="470"/>
      <c r="N2" s="472">
        <v>0.95</v>
      </c>
      <c r="O2" s="470"/>
    </row>
    <row r="3" spans="1:15"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row>
    <row r="4" spans="1:15" x14ac:dyDescent="0.25">
      <c r="A4" s="1" t="s">
        <v>28</v>
      </c>
      <c r="B4" s="3" t="s">
        <v>49</v>
      </c>
      <c r="C4" s="691" t="s">
        <v>30</v>
      </c>
      <c r="D4" s="757"/>
      <c r="E4" s="757"/>
      <c r="F4" s="757"/>
      <c r="G4" s="757"/>
      <c r="H4" s="757"/>
      <c r="I4" s="757"/>
      <c r="J4" s="757"/>
      <c r="K4" s="335" t="s">
        <v>552</v>
      </c>
      <c r="L4" s="335">
        <v>2.5779999999999998</v>
      </c>
      <c r="M4" s="470"/>
      <c r="N4" s="472">
        <v>0.99</v>
      </c>
      <c r="O4" s="470"/>
    </row>
    <row r="5" spans="1:15" x14ac:dyDescent="0.25">
      <c r="A5" s="1" t="s">
        <v>29</v>
      </c>
      <c r="B5" s="32">
        <f>'Uncertainty Worksheet'!B51</f>
        <v>0</v>
      </c>
      <c r="C5" s="691"/>
      <c r="D5" s="757"/>
      <c r="E5" s="757"/>
      <c r="F5" s="757"/>
      <c r="G5" s="757"/>
      <c r="H5" s="757"/>
      <c r="I5" s="757"/>
      <c r="J5" s="757"/>
      <c r="K5" s="335" t="s">
        <v>553</v>
      </c>
      <c r="L5" s="336">
        <v>3</v>
      </c>
      <c r="M5" s="470"/>
      <c r="N5" s="471">
        <v>0.99729999999999996</v>
      </c>
      <c r="O5" s="470"/>
    </row>
    <row r="6" spans="1:15" ht="45" x14ac:dyDescent="0.25">
      <c r="A6" s="1" t="s">
        <v>22</v>
      </c>
      <c r="B6" s="1" t="s">
        <v>0</v>
      </c>
      <c r="C6" s="1" t="s">
        <v>1</v>
      </c>
      <c r="D6" s="1" t="s">
        <v>2</v>
      </c>
      <c r="E6" s="1" t="s">
        <v>3</v>
      </c>
      <c r="F6" s="1" t="s">
        <v>4</v>
      </c>
      <c r="G6" s="1" t="s">
        <v>5</v>
      </c>
      <c r="H6" s="1" t="s">
        <v>32</v>
      </c>
      <c r="I6" s="2" t="s">
        <v>6</v>
      </c>
      <c r="J6" s="1" t="s">
        <v>31</v>
      </c>
      <c r="K6" s="335" t="s">
        <v>18</v>
      </c>
      <c r="L6" s="335">
        <v>0</v>
      </c>
      <c r="M6" s="470"/>
      <c r="N6" s="470"/>
      <c r="O6" s="470"/>
    </row>
    <row r="7" spans="1:15" x14ac:dyDescent="0.25">
      <c r="A7" s="1" t="str">
        <f>'R &amp; R Between Techs'!A7</f>
        <v>Repeatability Between Techs</v>
      </c>
      <c r="B7" s="1" t="e">
        <f>'R &amp; R Between Techs'!D64</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row>
    <row r="8" spans="1:15" x14ac:dyDescent="0.25">
      <c r="A8" s="62" t="str">
        <f>'R &amp; R Between Techs'!A8</f>
        <v>Reproducibility Between Techs</v>
      </c>
      <c r="B8" s="62" t="e">
        <f>'R &amp; R Between Techs'!E64</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row>
    <row r="9" spans="1:15" x14ac:dyDescent="0.25">
      <c r="A9" s="76"/>
      <c r="B9" s="77"/>
      <c r="C9" s="78"/>
      <c r="D9" s="79"/>
      <c r="E9" s="80"/>
      <c r="F9" s="61"/>
      <c r="G9" s="81"/>
      <c r="H9" s="81"/>
      <c r="I9" s="82"/>
      <c r="J9" s="83"/>
      <c r="K9" s="335" t="s">
        <v>8</v>
      </c>
      <c r="L9" s="336">
        <v>1</v>
      </c>
      <c r="M9" s="470"/>
      <c r="N9" s="470"/>
      <c r="O9" s="470"/>
    </row>
    <row r="10" spans="1:15"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I25*TINV((1-0.6826),(COUNT(C25:F25)-1))</f>
        <v>#VALUE!</v>
      </c>
      <c r="O10" s="473">
        <v>1000</v>
      </c>
    </row>
    <row r="11" spans="1:15" x14ac:dyDescent="0.25">
      <c r="A11" s="13" t="str">
        <f>'Uncertainty Worksheet'!A55</f>
        <v>ASTM E74 LLF</v>
      </c>
      <c r="B11" s="18">
        <f>IF(A11="ASTM E74 LLF",'Uncertainty Worksheet'!B55,
   IF(A11="ISO 376 Uncertainty",'Uncertainty Worksheet'!X30,
   IF(A11="ISO 376 % or % Per Point",'Uncertainty Worksheet'!M19,0)))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row>
    <row r="12" spans="1:15"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row>
    <row r="13" spans="1:15" x14ac:dyDescent="0.25">
      <c r="A13" s="13" t="str">
        <f>'Uncertainty Worksheet'!A57</f>
        <v>Environmental Conditions</v>
      </c>
      <c r="B13" s="18">
        <f>'Uncertainty Worksheet'!T11</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row>
    <row r="14" spans="1:15" x14ac:dyDescent="0.25">
      <c r="A14" s="13" t="str">
        <f>'Uncertainty Worksheet'!A58</f>
        <v>Stability of  Ref Standard</v>
      </c>
      <c r="B14" s="18" t="str">
        <f>'Uncertainty Worksheet'!Q11</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row>
    <row r="15" spans="1:15"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row>
    <row r="16" spans="1:15" ht="30" x14ac:dyDescent="0.25">
      <c r="A16" s="13" t="str">
        <f>'Uncertainty Worksheet'!A60</f>
        <v>Non ASTM or ISO 376 (Tolerance,Non-Linearity,SEB)</v>
      </c>
      <c r="B16" s="18" t="str">
        <f>'Uncertainty Worksheet'!R88</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Worksheet'!R54)</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06" t="s">
        <v>52</v>
      </c>
      <c r="E19" s="619"/>
      <c r="F19" s="620"/>
      <c r="G19" s="20">
        <f>SQRT(H19)</f>
        <v>6.9282032302755096E-3</v>
      </c>
      <c r="H19" s="21">
        <f>SUM(H7:H18)</f>
        <v>4.8000000000000008E-5</v>
      </c>
      <c r="I19" s="17">
        <f>SUM(I7:I18)</f>
        <v>1</v>
      </c>
      <c r="J19" s="16">
        <f>SUM(J7:J18)</f>
        <v>1.1520000000000004E-11</v>
      </c>
    </row>
    <row r="20" spans="1:13" x14ac:dyDescent="0.25">
      <c r="A20" s="7"/>
      <c r="B20" s="7"/>
      <c r="D20" s="644" t="s">
        <v>12</v>
      </c>
      <c r="E20" s="644"/>
      <c r="F20" s="644"/>
      <c r="G20" s="14">
        <f>IF(ISERROR(INT(G19^4/J19)), " ", INT(G19^4/J19))</f>
        <v>200</v>
      </c>
      <c r="H20" s="21"/>
      <c r="I20" s="6"/>
      <c r="J20" s="6"/>
    </row>
    <row r="21" spans="1:13" x14ac:dyDescent="0.25">
      <c r="A21" s="29"/>
      <c r="B21" s="7"/>
      <c r="D21" s="764" t="s">
        <v>344</v>
      </c>
      <c r="E21" s="765"/>
      <c r="F21" s="256">
        <f>'R &amp; R Between Techs'!F21</f>
        <v>0.95450000000000002</v>
      </c>
      <c r="G21" s="250">
        <f>IF(ISERROR(TINV((1-F21),G20)), " ", TINV((1-F21),G20))</f>
        <v>2.0125794050712815</v>
      </c>
      <c r="H21" s="25"/>
      <c r="I21" s="6"/>
      <c r="J21" s="6"/>
    </row>
    <row r="22" spans="1:13" x14ac:dyDescent="0.25">
      <c r="A22" s="7"/>
      <c r="B22" s="7"/>
      <c r="D22" s="692" t="s">
        <v>53</v>
      </c>
      <c r="E22" s="692"/>
      <c r="F22" s="692"/>
      <c r="G22" s="28">
        <f>IF(ISERROR(G19*G21), " ", G19*G21)</f>
        <v>1.3943559135400817E-2</v>
      </c>
      <c r="H22" s="30" t="e">
        <f>G22/(MAX(B25:B25))</f>
        <v>#DIV/0!</v>
      </c>
    </row>
    <row r="23" spans="1:13" x14ac:dyDescent="0.25">
      <c r="A23" s="677" t="s">
        <v>150</v>
      </c>
      <c r="B23" s="678"/>
      <c r="C23" s="678"/>
      <c r="D23" s="678"/>
      <c r="E23" s="678"/>
      <c r="F23" s="678"/>
      <c r="G23" s="678"/>
      <c r="H23" s="678"/>
      <c r="I23" s="678"/>
      <c r="J23" s="678"/>
      <c r="K23" s="678"/>
      <c r="L23" s="679"/>
    </row>
    <row r="24" spans="1:13" x14ac:dyDescent="0.25">
      <c r="A24" s="4">
        <v>5</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60">
        <f>'Uncertainty Worksheet'!B73</f>
        <v>0</v>
      </c>
      <c r="C25" s="460" t="str">
        <f>'Uncertainty Worksheet'!C73</f>
        <v/>
      </c>
      <c r="D25" s="460" t="str">
        <f>'Uncertainty Worksheet'!D73</f>
        <v/>
      </c>
      <c r="E25" s="460" t="str">
        <f>'Uncertainty Worksheet'!E73</f>
        <v/>
      </c>
      <c r="F25" s="460" t="str">
        <f>'Uncertainty Worksheet'!F73</f>
        <v/>
      </c>
      <c r="G25" s="460" t="str">
        <f>'Uncertainty Worksheet'!G73</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3" x14ac:dyDescent="0.25">
      <c r="C26" t="str">
        <f>IF(ISERROR(STDEV(I25:I25)), " ", STDEV(I25:I25))</f>
        <v xml:space="preserve"> </v>
      </c>
      <c r="D26" s="761" t="s">
        <v>45</v>
      </c>
      <c r="E26" s="762"/>
      <c r="F26" s="763"/>
      <c r="G26" s="454" t="e">
        <f>SQRT((SUMSQ(I25:I25)/COUNT(I25:I25)))</f>
        <v>#DIV/0!</v>
      </c>
      <c r="I26" s="232"/>
      <c r="J26" s="343" t="str">
        <f>IF(ISERROR(STDEV(J25:J25)), " ", STDEV(J25:J25))</f>
        <v xml:space="preserve"> </v>
      </c>
      <c r="K26" s="343" t="str">
        <f>IF(ISERROR(STDEV(K25:K25)), " ", STDEV(K25:K25))</f>
        <v xml:space="preserve"> </v>
      </c>
    </row>
    <row r="29" spans="1:13" x14ac:dyDescent="0.25">
      <c r="A29" s="58" t="s">
        <v>113</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31" priority="1" operator="greaterThan">
      <formula>999</formula>
    </cfRule>
    <cfRule type="cellIs" dxfId="30" priority="2" operator="greaterThan">
      <formula>1000</formula>
    </cfRule>
    <cfRule type="cellIs" dxfId="29"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800-000000000000}">
      <formula1>$K$1:$K$12</formula1>
    </dataValidation>
    <dataValidation type="list" allowBlank="1" showInputMessage="1" showErrorMessage="1" promptTitle="Select Confidence Interval" prompt="Select Confidence Interval. Default is 95.45%" sqref="F21" xr:uid="{83E07677-CE25-45CF-B049-6B33BEB376DD}">
      <formula1>$N$1:$N$5</formula1>
    </dataValidation>
  </dataValidations>
  <pageMargins left="0.7" right="0.7" top="0.75" bottom="0.75" header="0.3" footer="0.3"/>
  <pageSetup scale="64" fitToHeight="0" orientation="landscape" r:id="rId1"/>
  <ignoredErrors>
    <ignoredError sqref="B25:G25 F21 B5 D3 D7:D8 C10:C18 A10:A18 D10:D18 F11 F17" unlockedFormula="1"/>
    <ignoredError sqref="B7:B8 G26 K25:L25" evalError="1"/>
    <ignoredError sqref="B10:B18" evalError="1" unlockedFormula="1"/>
    <ignoredError sqref="E17" formula="1"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Q33"/>
  <sheetViews>
    <sheetView topLeftCell="A7" zoomScale="130" zoomScaleNormal="130" workbookViewId="0">
      <selection activeCell="D32" sqref="D32"/>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55" t="s">
        <v>23</v>
      </c>
      <c r="B1" s="755"/>
      <c r="C1" s="755"/>
      <c r="D1" s="755"/>
      <c r="E1" s="755"/>
      <c r="F1" s="755"/>
      <c r="G1" s="755"/>
      <c r="H1" s="755"/>
      <c r="I1" s="755"/>
      <c r="J1" s="755"/>
      <c r="K1" s="335" t="s">
        <v>549</v>
      </c>
      <c r="L1" s="336">
        <v>1</v>
      </c>
      <c r="M1" s="470"/>
      <c r="N1" s="471">
        <v>0.68269999999999997</v>
      </c>
      <c r="O1" s="470"/>
      <c r="P1" s="470"/>
      <c r="Q1" s="470"/>
    </row>
    <row r="2" spans="1:17" x14ac:dyDescent="0.25">
      <c r="A2" s="1" t="s">
        <v>24</v>
      </c>
      <c r="B2" s="624" t="s">
        <v>48</v>
      </c>
      <c r="C2" s="624"/>
      <c r="D2" s="624"/>
      <c r="E2" s="624"/>
      <c r="F2" s="624"/>
      <c r="G2" s="624"/>
      <c r="H2" s="624"/>
      <c r="I2" s="624"/>
      <c r="J2" s="624"/>
      <c r="K2" s="335" t="s">
        <v>550</v>
      </c>
      <c r="L2" s="336">
        <v>1.96</v>
      </c>
      <c r="M2" s="470"/>
      <c r="N2" s="472">
        <v>0.95</v>
      </c>
      <c r="O2" s="470"/>
      <c r="P2" s="470"/>
      <c r="Q2" s="470"/>
    </row>
    <row r="3" spans="1:17"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c r="Q3" s="470"/>
    </row>
    <row r="4" spans="1:17" x14ac:dyDescent="0.25">
      <c r="A4" s="1" t="s">
        <v>28</v>
      </c>
      <c r="B4" s="3" t="s">
        <v>49</v>
      </c>
      <c r="C4" s="691" t="s">
        <v>30</v>
      </c>
      <c r="D4" s="757"/>
      <c r="E4" s="757"/>
      <c r="F4" s="757"/>
      <c r="G4" s="757"/>
      <c r="H4" s="757"/>
      <c r="I4" s="757"/>
      <c r="J4" s="757"/>
      <c r="K4" s="335" t="s">
        <v>552</v>
      </c>
      <c r="L4" s="335">
        <v>2.5779999999999998</v>
      </c>
      <c r="M4" s="470"/>
      <c r="N4" s="472">
        <v>0.99</v>
      </c>
      <c r="O4" s="470"/>
      <c r="P4" s="470"/>
      <c r="Q4" s="470"/>
    </row>
    <row r="5" spans="1:17" x14ac:dyDescent="0.25">
      <c r="A5" s="1" t="s">
        <v>29</v>
      </c>
      <c r="B5" s="32">
        <f>'Uncertainty Worksheet'!B51</f>
        <v>0</v>
      </c>
      <c r="C5" s="691"/>
      <c r="D5" s="757"/>
      <c r="E5" s="757"/>
      <c r="F5" s="757"/>
      <c r="G5" s="757"/>
      <c r="H5" s="757"/>
      <c r="I5" s="757"/>
      <c r="J5" s="757"/>
      <c r="K5" s="335" t="s">
        <v>553</v>
      </c>
      <c r="L5" s="336">
        <v>3</v>
      </c>
      <c r="M5" s="470"/>
      <c r="N5" s="471">
        <v>0.99729999999999996</v>
      </c>
      <c r="O5" s="470"/>
      <c r="P5" s="470"/>
      <c r="Q5" s="470"/>
    </row>
    <row r="6" spans="1:17" ht="45" x14ac:dyDescent="0.25">
      <c r="A6" s="1" t="s">
        <v>22</v>
      </c>
      <c r="B6" s="1" t="s">
        <v>0</v>
      </c>
      <c r="C6" s="1" t="s">
        <v>1</v>
      </c>
      <c r="D6" s="1" t="s">
        <v>2</v>
      </c>
      <c r="E6" s="1" t="s">
        <v>3</v>
      </c>
      <c r="F6" s="1" t="s">
        <v>4</v>
      </c>
      <c r="G6" s="1" t="s">
        <v>5</v>
      </c>
      <c r="H6" s="1" t="s">
        <v>32</v>
      </c>
      <c r="I6" s="2" t="s">
        <v>6</v>
      </c>
      <c r="J6" s="1" t="s">
        <v>31</v>
      </c>
      <c r="K6" s="335" t="s">
        <v>18</v>
      </c>
      <c r="L6" s="335">
        <v>0</v>
      </c>
      <c r="M6" s="470"/>
      <c r="N6" s="470"/>
      <c r="O6" s="470"/>
      <c r="P6" s="470"/>
      <c r="Q6" s="470"/>
    </row>
    <row r="7" spans="1:17" x14ac:dyDescent="0.25">
      <c r="A7" s="1" t="str">
        <f>'R &amp; R Between Techs'!A7</f>
        <v>Repeatability Between Techs</v>
      </c>
      <c r="B7" s="1" t="e">
        <f>'R &amp; R Between Techs'!D65</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c r="P7" s="470"/>
      <c r="Q7" s="470"/>
    </row>
    <row r="8" spans="1:17" x14ac:dyDescent="0.25">
      <c r="A8" s="62" t="str">
        <f>'R &amp; R Between Techs'!A8</f>
        <v>Reproducibility Between Techs</v>
      </c>
      <c r="B8" s="62" t="e">
        <f>'R &amp; R Between Techs'!E65</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c r="P8" s="470"/>
      <c r="Q8" s="470"/>
    </row>
    <row r="9" spans="1:17" x14ac:dyDescent="0.25">
      <c r="A9" s="76"/>
      <c r="B9" s="77"/>
      <c r="C9" s="78"/>
      <c r="D9" s="79"/>
      <c r="E9" s="80"/>
      <c r="F9" s="61"/>
      <c r="G9" s="81"/>
      <c r="H9" s="81"/>
      <c r="I9" s="82"/>
      <c r="J9" s="83"/>
      <c r="K9" s="335" t="s">
        <v>8</v>
      </c>
      <c r="L9" s="336">
        <v>1</v>
      </c>
      <c r="M9" s="470"/>
      <c r="N9" s="470"/>
      <c r="O9" s="470"/>
      <c r="P9" s="470"/>
      <c r="Q9" s="470"/>
    </row>
    <row r="10" spans="1:17" x14ac:dyDescent="0.25">
      <c r="A10" s="69" t="str">
        <f>'Uncertainty Worksheet'!A54</f>
        <v>Repeatability</v>
      </c>
      <c r="B10" s="70" t="str">
        <f>IF('R &amp; R Between Techs'!E5="Y",(N10),(N11))</f>
        <v/>
      </c>
      <c r="C10" s="35" t="str">
        <f>'Uncertainty Worksheet'!C54</f>
        <v>A</v>
      </c>
      <c r="D10" s="71" t="str">
        <f>'Uncertainty Worksheet'!D54</f>
        <v>Normal</v>
      </c>
      <c r="E10" s="72">
        <f t="shared" ref="E10" si="4">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c r="Q10" s="470"/>
    </row>
    <row r="11" spans="1:17" x14ac:dyDescent="0.25">
      <c r="A11" s="13" t="str">
        <f>'Uncertainty Worksheet'!A55</f>
        <v>ASTM E74 LLF</v>
      </c>
      <c r="B11" s="18">
        <f>IF(A11="ASTM E74 LLF",'Uncertainty Worksheet'!B55,
   IF(A11="ISO 376 Uncertainty",'Uncertainty Worksheet'!X30,
   IF(A11="ISO 376 % or % Per Point",'Uncertainty Worksheet'!M20,0)))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str">
        <f>G26</f>
        <v/>
      </c>
      <c r="O11" s="473">
        <f>COUNT(C25:G25)-1</f>
        <v>-1</v>
      </c>
      <c r="P11" s="470"/>
      <c r="Q11" s="470"/>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c r="Q12" s="470"/>
    </row>
    <row r="13" spans="1:17" x14ac:dyDescent="0.25">
      <c r="A13" s="13" t="str">
        <f>'Uncertainty Worksheet'!A57</f>
        <v>Environmental Conditions</v>
      </c>
      <c r="B13" s="18">
        <f>'Uncertainty Worksheet'!T12</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c r="Q13" s="470"/>
    </row>
    <row r="14" spans="1:17" x14ac:dyDescent="0.25">
      <c r="A14" s="13" t="str">
        <f>'Uncertainty Worksheet'!A58</f>
        <v>Stability of  Ref Standard</v>
      </c>
      <c r="B14" s="18" t="str">
        <f>'Uncertainty Worksheet'!Q12</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c r="Q14" s="470"/>
    </row>
    <row r="15" spans="1:17"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row>
    <row r="16" spans="1:17" ht="30" x14ac:dyDescent="0.25">
      <c r="A16" s="13" t="str">
        <f>'Uncertainty Worksheet'!A60</f>
        <v>Non ASTM or ISO 376 (Tolerance,Non-Linearity,SEB)</v>
      </c>
      <c r="B16" s="18" t="str">
        <f>'Uncertainty Worksheet'!R89</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Worksheet'!R55)</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06" t="s">
        <v>52</v>
      </c>
      <c r="E19" s="619"/>
      <c r="F19" s="620"/>
      <c r="G19" s="20">
        <f>SQRT(H19)</f>
        <v>6.9282032302755096E-3</v>
      </c>
      <c r="H19" s="21">
        <f>SUM(H7:H18)</f>
        <v>4.8000000000000008E-5</v>
      </c>
      <c r="I19" s="17">
        <f>SUM(I7:I18)</f>
        <v>1</v>
      </c>
      <c r="J19" s="16">
        <f>SUM(J7:J18)</f>
        <v>1.1520000000000004E-11</v>
      </c>
    </row>
    <row r="20" spans="1:13" x14ac:dyDescent="0.25">
      <c r="A20" s="7"/>
      <c r="B20" s="7"/>
      <c r="D20" s="644" t="s">
        <v>12</v>
      </c>
      <c r="E20" s="644"/>
      <c r="F20" s="644"/>
      <c r="G20" s="14">
        <f>IF(ISERROR(INT(G19^4/J19)), " ", INT(G19^4/J19))</f>
        <v>200</v>
      </c>
      <c r="H20" s="21"/>
      <c r="I20" s="6"/>
      <c r="J20" s="6"/>
    </row>
    <row r="21" spans="1:13" x14ac:dyDescent="0.25">
      <c r="A21" s="29"/>
      <c r="B21" s="7"/>
      <c r="D21" s="764" t="s">
        <v>538</v>
      </c>
      <c r="E21" s="765"/>
      <c r="F21" s="256">
        <f>'R &amp; R Between Techs'!F21</f>
        <v>0.95450000000000002</v>
      </c>
      <c r="G21" s="250">
        <f>IF(ISERROR(TINV((1-F21),G20)), " ", TINV((1-F21),G20))</f>
        <v>2.0125794050712815</v>
      </c>
      <c r="H21" s="25"/>
      <c r="I21" s="6"/>
      <c r="J21" s="6"/>
    </row>
    <row r="22" spans="1:13" x14ac:dyDescent="0.25">
      <c r="A22" s="7"/>
      <c r="B22" s="7"/>
      <c r="D22" s="692" t="s">
        <v>77</v>
      </c>
      <c r="E22" s="692"/>
      <c r="F22" s="692"/>
      <c r="G22" s="28">
        <f>IF(ISERROR(G19*G21), " ", G19*G21)</f>
        <v>1.3943559135400817E-2</v>
      </c>
      <c r="H22" s="30" t="e">
        <f>G22/(MAX(B25:B25))</f>
        <v>#DIV/0!</v>
      </c>
    </row>
    <row r="23" spans="1:13" x14ac:dyDescent="0.25">
      <c r="A23" s="677" t="s">
        <v>150</v>
      </c>
      <c r="B23" s="678"/>
      <c r="C23" s="678"/>
      <c r="D23" s="678"/>
      <c r="E23" s="678"/>
      <c r="F23" s="678"/>
      <c r="G23" s="678"/>
      <c r="H23" s="678"/>
      <c r="I23" s="678"/>
      <c r="J23" s="678"/>
      <c r="K23" s="678"/>
      <c r="L23" s="679"/>
    </row>
    <row r="24" spans="1:13" x14ac:dyDescent="0.25">
      <c r="A24" s="4">
        <v>6</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60">
        <f>'Uncertainty Worksheet'!B74</f>
        <v>0</v>
      </c>
      <c r="C25" s="460" t="str">
        <f>'Uncertainty Worksheet'!C74</f>
        <v/>
      </c>
      <c r="D25" s="460" t="str">
        <f>'Uncertainty Worksheet'!D74</f>
        <v/>
      </c>
      <c r="E25" s="460" t="str">
        <f>'Uncertainty Worksheet'!E74</f>
        <v/>
      </c>
      <c r="F25" s="460" t="str">
        <f>'Uncertainty Worksheet'!F74</f>
        <v/>
      </c>
      <c r="G25" s="460" t="str">
        <f>'Uncertainty Worksheet'!G74</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3" x14ac:dyDescent="0.25">
      <c r="C26" t="str">
        <f>IF(ISERROR(STDEV(I25:I25)), " ", STDEV(I25:I25))</f>
        <v xml:space="preserve"> </v>
      </c>
      <c r="D26" s="761" t="s">
        <v>45</v>
      </c>
      <c r="E26" s="762"/>
      <c r="F26" s="763"/>
      <c r="G26" s="454" t="str">
        <f>IFERROR(SQRT((SUMSQ(I25:I25)/COUNT(I25:I25))),"")</f>
        <v/>
      </c>
      <c r="I26" s="232"/>
      <c r="J26" s="343" t="str">
        <f>IF(ISERROR(STDEV(J25:J25)), " ", STDEV(J25:J25))</f>
        <v xml:space="preserve"> </v>
      </c>
      <c r="K26" s="343" t="str">
        <f>IF(ISERROR(STDEV(K25:K25)), " ", STDEV(K25:K25))</f>
        <v xml:space="preserve"> </v>
      </c>
    </row>
    <row r="29" spans="1:13" x14ac:dyDescent="0.25">
      <c r="A29" s="58" t="s">
        <v>114</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28" priority="1" operator="greaterThan">
      <formula>999</formula>
    </cfRule>
    <cfRule type="cellIs" dxfId="27" priority="2" operator="greaterThan">
      <formula>1000</formula>
    </cfRule>
    <cfRule type="cellIs" dxfId="26"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900-000000000000}">
      <formula1>$K$1:$K$12</formula1>
    </dataValidation>
    <dataValidation type="list" allowBlank="1" showInputMessage="1" showErrorMessage="1" promptTitle="Select Confidence Interval" prompt="Select Confidence Interval. Default is 95.45%" sqref="F21" xr:uid="{5832885F-1335-49CF-8FF1-E25E4E2D808E}">
      <formula1>$N$1:$N$5</formula1>
    </dataValidation>
  </dataValidations>
  <pageMargins left="0.7" right="0.7" top="0.75" bottom="0.75" header="0.3" footer="0.3"/>
  <pageSetup scale="64" fitToHeight="0" orientation="landscape" r:id="rId1"/>
  <ignoredErrors>
    <ignoredError sqref="B25:G25 F21 D3 B5 A10:A18 D7:D8 F11" unlockedFormula="1"/>
    <ignoredError sqref="B7:B8 H22 K25:L25" evalError="1"/>
    <ignoredError sqref="B10:D18" evalError="1" unlockedFormula="1"/>
    <ignoredError sqref="E17:F1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Q33"/>
  <sheetViews>
    <sheetView topLeftCell="A7"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55" t="s">
        <v>23</v>
      </c>
      <c r="B1" s="755"/>
      <c r="C1" s="755"/>
      <c r="D1" s="755"/>
      <c r="E1" s="755"/>
      <c r="F1" s="755"/>
      <c r="G1" s="755"/>
      <c r="H1" s="755"/>
      <c r="I1" s="755"/>
      <c r="J1" s="755"/>
      <c r="K1" s="335" t="s">
        <v>549</v>
      </c>
      <c r="L1" s="336">
        <v>1</v>
      </c>
      <c r="M1" s="470"/>
      <c r="N1" s="471">
        <v>0.68269999999999997</v>
      </c>
      <c r="O1" s="470"/>
      <c r="P1" s="470"/>
      <c r="Q1" s="470"/>
    </row>
    <row r="2" spans="1:17" x14ac:dyDescent="0.25">
      <c r="A2" s="1" t="s">
        <v>24</v>
      </c>
      <c r="B2" s="624" t="s">
        <v>48</v>
      </c>
      <c r="C2" s="624"/>
      <c r="D2" s="624"/>
      <c r="E2" s="624"/>
      <c r="F2" s="624"/>
      <c r="G2" s="624"/>
      <c r="H2" s="624"/>
      <c r="I2" s="624"/>
      <c r="J2" s="624"/>
      <c r="K2" s="335" t="s">
        <v>550</v>
      </c>
      <c r="L2" s="336">
        <v>1.96</v>
      </c>
      <c r="M2" s="470"/>
      <c r="N2" s="472">
        <v>0.95</v>
      </c>
      <c r="O2" s="470"/>
      <c r="P2" s="470"/>
      <c r="Q2" s="470"/>
    </row>
    <row r="3" spans="1:17"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c r="Q3" s="470"/>
    </row>
    <row r="4" spans="1:17" x14ac:dyDescent="0.25">
      <c r="A4" s="1" t="s">
        <v>28</v>
      </c>
      <c r="B4" s="3" t="s">
        <v>49</v>
      </c>
      <c r="C4" s="691" t="s">
        <v>30</v>
      </c>
      <c r="D4" s="757"/>
      <c r="E4" s="757"/>
      <c r="F4" s="757"/>
      <c r="G4" s="757"/>
      <c r="H4" s="757"/>
      <c r="I4" s="757"/>
      <c r="J4" s="757"/>
      <c r="K4" s="335" t="s">
        <v>552</v>
      </c>
      <c r="L4" s="335">
        <v>2.5779999999999998</v>
      </c>
      <c r="M4" s="470"/>
      <c r="N4" s="472">
        <v>0.99</v>
      </c>
      <c r="O4" s="470"/>
      <c r="P4" s="470"/>
      <c r="Q4" s="470"/>
    </row>
    <row r="5" spans="1:17" x14ac:dyDescent="0.25">
      <c r="A5" s="1" t="s">
        <v>29</v>
      </c>
      <c r="B5" s="32">
        <f>'Uncertainty Worksheet'!B51</f>
        <v>0</v>
      </c>
      <c r="C5" s="691"/>
      <c r="D5" s="757"/>
      <c r="E5" s="757"/>
      <c r="F5" s="757"/>
      <c r="G5" s="757"/>
      <c r="H5" s="757"/>
      <c r="I5" s="757"/>
      <c r="J5" s="757"/>
      <c r="K5" s="335" t="s">
        <v>553</v>
      </c>
      <c r="L5" s="336">
        <v>3</v>
      </c>
      <c r="M5" s="470"/>
      <c r="N5" s="471">
        <v>0.99729999999999996</v>
      </c>
      <c r="O5" s="470"/>
      <c r="P5" s="470"/>
      <c r="Q5" s="470"/>
    </row>
    <row r="6" spans="1:17" ht="45" x14ac:dyDescent="0.25">
      <c r="A6" s="1" t="s">
        <v>22</v>
      </c>
      <c r="B6" s="1" t="s">
        <v>0</v>
      </c>
      <c r="C6" s="1" t="s">
        <v>1</v>
      </c>
      <c r="D6" s="1" t="s">
        <v>2</v>
      </c>
      <c r="E6" s="1" t="s">
        <v>3</v>
      </c>
      <c r="F6" s="1" t="s">
        <v>4</v>
      </c>
      <c r="G6" s="1" t="s">
        <v>5</v>
      </c>
      <c r="H6" s="1" t="s">
        <v>32</v>
      </c>
      <c r="I6" s="2" t="s">
        <v>6</v>
      </c>
      <c r="J6" s="1" t="s">
        <v>31</v>
      </c>
      <c r="K6" s="335" t="s">
        <v>18</v>
      </c>
      <c r="L6" s="335">
        <v>0</v>
      </c>
      <c r="M6" s="470"/>
      <c r="N6" s="470"/>
      <c r="O6" s="470"/>
      <c r="P6" s="470"/>
      <c r="Q6" s="470"/>
    </row>
    <row r="7" spans="1:17" x14ac:dyDescent="0.25">
      <c r="A7" s="1" t="str">
        <f>'R &amp; R Between Techs'!A7</f>
        <v>Repeatability Between Techs</v>
      </c>
      <c r="B7" s="1" t="e">
        <f>'R &amp; R Between Techs'!D66</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c r="P7" s="470"/>
      <c r="Q7" s="470"/>
    </row>
    <row r="8" spans="1:17" x14ac:dyDescent="0.25">
      <c r="A8" s="62" t="str">
        <f>'R &amp; R Between Techs'!A8</f>
        <v>Reproducibility Between Techs</v>
      </c>
      <c r="B8" s="62" t="e">
        <f>'R &amp; R Between Techs'!E66</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c r="P8" s="470"/>
      <c r="Q8" s="470"/>
    </row>
    <row r="9" spans="1:17" x14ac:dyDescent="0.25">
      <c r="A9" s="76"/>
      <c r="B9" s="77"/>
      <c r="C9" s="78"/>
      <c r="D9" s="79"/>
      <c r="E9" s="80"/>
      <c r="F9" s="61"/>
      <c r="G9" s="81"/>
      <c r="H9" s="81"/>
      <c r="I9" s="82"/>
      <c r="J9" s="83"/>
      <c r="K9" s="335" t="s">
        <v>8</v>
      </c>
      <c r="L9" s="336">
        <v>1</v>
      </c>
      <c r="M9" s="470"/>
      <c r="N9" s="470"/>
      <c r="O9" s="470"/>
      <c r="P9" s="470"/>
      <c r="Q9" s="470"/>
    </row>
    <row r="10" spans="1:17" x14ac:dyDescent="0.25">
      <c r="A10" s="69" t="str">
        <f>'Uncertainty Worksheet'!A54</f>
        <v>Repeatability</v>
      </c>
      <c r="B10" s="70" t="e">
        <f>IF('R &amp; R Between Techs'!E5="Y",(N10),(N11))</f>
        <v>#DIV/0!</v>
      </c>
      <c r="C10" s="35" t="str">
        <f>'Uncertainty Worksheet'!C54</f>
        <v>A</v>
      </c>
      <c r="D10" s="71" t="str">
        <f>'Uncertainty Worksheet'!D54</f>
        <v>Normal</v>
      </c>
      <c r="E10" s="72">
        <f>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c r="Q10" s="470"/>
    </row>
    <row r="11" spans="1:17" x14ac:dyDescent="0.25">
      <c r="A11" s="13" t="str">
        <f>'Uncertainty Worksheet'!A55</f>
        <v>ASTM E74 LLF</v>
      </c>
      <c r="B11" s="18">
        <f>IF(A11="ASTM E74 LLF",'Uncertainty Worksheet'!B55,
   IF(A11="ISO 376 Uncertainty",'Uncertainty Worksheet'!X30,
   IF(A11="ISO 376 % or % Per Point",'Uncertainty Worksheet'!M21,0)))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c r="P11" s="470"/>
      <c r="Q11" s="470"/>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c r="Q12" s="470"/>
    </row>
    <row r="13" spans="1:17" x14ac:dyDescent="0.25">
      <c r="A13" s="13" t="str">
        <f>'Uncertainty Worksheet'!A57</f>
        <v>Environmental Conditions</v>
      </c>
      <c r="B13" s="18">
        <f>'Uncertainty Worksheet'!T13</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c r="Q13" s="470"/>
    </row>
    <row r="14" spans="1:17" x14ac:dyDescent="0.25">
      <c r="A14" s="13" t="str">
        <f>'Uncertainty Worksheet'!A58</f>
        <v>Stability of  Ref Standard</v>
      </c>
      <c r="B14" s="18" t="str">
        <f>'Uncertainty Worksheet'!Q13</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c r="Q14" s="470"/>
    </row>
    <row r="15" spans="1:17"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c r="P15" s="470"/>
      <c r="Q15" s="470"/>
    </row>
    <row r="16" spans="1:17" ht="30" x14ac:dyDescent="0.25">
      <c r="A16" s="13" t="str">
        <f>'Uncertainty Worksheet'!A60</f>
        <v>Non ASTM or ISO 376 (Tolerance,Non-Linearity,SEB)</v>
      </c>
      <c r="B16" s="18" t="str">
        <f>'Uncertainty Worksheet'!R90</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Worksheet'!R56)</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06" t="s">
        <v>52</v>
      </c>
      <c r="E19" s="619"/>
      <c r="F19" s="620"/>
      <c r="G19" s="20">
        <f>SQRT(H19)</f>
        <v>6.9282032302755096E-3</v>
      </c>
      <c r="H19" s="21">
        <f>SUM(H7:H18)</f>
        <v>4.8000000000000008E-5</v>
      </c>
      <c r="I19" s="17">
        <f>SUM(I7:I18)</f>
        <v>1</v>
      </c>
      <c r="J19" s="16">
        <f>SUM(J7:J18)</f>
        <v>1.1520000000000004E-11</v>
      </c>
    </row>
    <row r="20" spans="1:13" x14ac:dyDescent="0.25">
      <c r="A20" s="7"/>
      <c r="B20" s="7"/>
      <c r="D20" s="644" t="s">
        <v>12</v>
      </c>
      <c r="E20" s="644"/>
      <c r="F20" s="644"/>
      <c r="G20" s="14">
        <f>IF(ISERROR(INT(G19^4/J19)), " ", INT(G19^4/J19))</f>
        <v>200</v>
      </c>
      <c r="H20" s="21"/>
      <c r="I20" s="6"/>
      <c r="J20" s="6"/>
    </row>
    <row r="21" spans="1:13" x14ac:dyDescent="0.25">
      <c r="A21" s="29"/>
      <c r="B21" s="7"/>
      <c r="D21" s="764" t="s">
        <v>538</v>
      </c>
      <c r="E21" s="765"/>
      <c r="F21" s="256">
        <f>'R &amp; R Between Techs'!F21</f>
        <v>0.95450000000000002</v>
      </c>
      <c r="G21" s="250">
        <f>IF(ISERROR(TINV((1-F21),G20)), " ", TINV((1-F21),G20))</f>
        <v>2.0125794050712815</v>
      </c>
      <c r="H21" s="25"/>
      <c r="I21" s="6"/>
      <c r="J21" s="6"/>
    </row>
    <row r="22" spans="1:13" x14ac:dyDescent="0.25">
      <c r="A22" s="7"/>
      <c r="B22" s="7"/>
      <c r="D22" s="692" t="s">
        <v>77</v>
      </c>
      <c r="E22" s="692"/>
      <c r="F22" s="692"/>
      <c r="G22" s="28">
        <f>IF(ISERROR(G19*G21), " ", G19*G21)</f>
        <v>1.3943559135400817E-2</v>
      </c>
      <c r="H22" s="30" t="e">
        <f>G22/(MAX(B25:B25))</f>
        <v>#DIV/0!</v>
      </c>
    </row>
    <row r="23" spans="1:13" x14ac:dyDescent="0.25">
      <c r="A23" s="677" t="s">
        <v>150</v>
      </c>
      <c r="B23" s="678"/>
      <c r="C23" s="678"/>
      <c r="D23" s="678"/>
      <c r="E23" s="678"/>
      <c r="F23" s="678"/>
      <c r="G23" s="678"/>
      <c r="H23" s="678"/>
      <c r="I23" s="678"/>
      <c r="J23" s="678"/>
      <c r="K23" s="678"/>
      <c r="L23" s="679"/>
    </row>
    <row r="24" spans="1:13" x14ac:dyDescent="0.25">
      <c r="A24" s="4">
        <v>7</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60">
        <f>'Uncertainty Worksheet'!B75</f>
        <v>0</v>
      </c>
      <c r="C25" s="460" t="str">
        <f>'Uncertainty Worksheet'!C75</f>
        <v/>
      </c>
      <c r="D25" s="460" t="str">
        <f>'Uncertainty Worksheet'!D75</f>
        <v/>
      </c>
      <c r="E25" s="460" t="str">
        <f>'Uncertainty Worksheet'!E75</f>
        <v/>
      </c>
      <c r="F25" s="460" t="str">
        <f>'Uncertainty Worksheet'!F75</f>
        <v/>
      </c>
      <c r="G25" s="460" t="str">
        <f>'Uncertainty Worksheet'!G75</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3" x14ac:dyDescent="0.25">
      <c r="C26" t="str">
        <f>IF(ISERROR(STDEV(I25:I25)), " ", STDEV(I25:I25))</f>
        <v xml:space="preserve"> </v>
      </c>
      <c r="D26" s="761" t="s">
        <v>45</v>
      </c>
      <c r="E26" s="762"/>
      <c r="F26" s="763"/>
      <c r="G26" s="24" t="e">
        <f>SQRT((SUMSQ(I25:I25)/COUNT(I25:I25)))</f>
        <v>#DIV/0!</v>
      </c>
      <c r="I26" s="232"/>
      <c r="J26" s="343" t="str">
        <f>IF(ISERROR(STDEV(J25:J25)), " ", STDEV(J25:J25))</f>
        <v xml:space="preserve"> </v>
      </c>
      <c r="K26" s="343" t="str">
        <f>IF(ISERROR(STDEV(K25:K25)), " ", STDEV(K25:K25))</f>
        <v xml:space="preserve"> </v>
      </c>
    </row>
    <row r="29" spans="1:13" x14ac:dyDescent="0.25">
      <c r="A29" s="58" t="s">
        <v>115</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25" priority="1" operator="greaterThan">
      <formula>999</formula>
    </cfRule>
    <cfRule type="cellIs" dxfId="24" priority="2" operator="greaterThan">
      <formula>1000</formula>
    </cfRule>
    <cfRule type="cellIs" dxfId="23"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A00-000000000000}">
      <formula1>$K$1:$K$12</formula1>
    </dataValidation>
    <dataValidation type="list" allowBlank="1" showInputMessage="1" showErrorMessage="1" promptTitle="Select Confidence Interval" prompt="Select Confidence Interval. Default is 95.45%" sqref="F21" xr:uid="{BC793772-6A82-4E40-A1E5-2D75B4F5378D}">
      <formula1>$N$1:$N$5</formula1>
    </dataValidation>
  </dataValidations>
  <pageMargins left="0.7" right="0.7" top="0.75" bottom="0.75" header="0.3" footer="0.3"/>
  <pageSetup scale="64" fitToHeight="0" orientation="landscape" r:id="rId1"/>
  <ignoredErrors>
    <ignoredError sqref="B25:G25 B5 A11:D17 A10 C10:D10 A18 C18:D18 F17" unlockedFormula="1"/>
    <ignoredError sqref="B7:C8 K25:L25 G26" evalError="1"/>
    <ignoredError sqref="D7:D8 B10 B18" evalError="1"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pageSetUpPr fitToPage="1"/>
  </sheetPr>
  <dimension ref="A1:P33"/>
  <sheetViews>
    <sheetView topLeftCell="A13"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55" t="s">
        <v>23</v>
      </c>
      <c r="B1" s="755"/>
      <c r="C1" s="755"/>
      <c r="D1" s="755"/>
      <c r="E1" s="755"/>
      <c r="F1" s="755"/>
      <c r="G1" s="755"/>
      <c r="H1" s="755"/>
      <c r="I1" s="755"/>
      <c r="J1" s="755"/>
      <c r="K1" s="335" t="s">
        <v>549</v>
      </c>
      <c r="L1" s="336">
        <v>1</v>
      </c>
      <c r="M1" s="470"/>
      <c r="N1" s="471">
        <v>0.68269999999999997</v>
      </c>
      <c r="O1" s="470"/>
      <c r="P1" s="470"/>
    </row>
    <row r="2" spans="1:16" x14ac:dyDescent="0.25">
      <c r="A2" s="1" t="s">
        <v>24</v>
      </c>
      <c r="B2" s="624" t="s">
        <v>48</v>
      </c>
      <c r="C2" s="624"/>
      <c r="D2" s="624"/>
      <c r="E2" s="624"/>
      <c r="F2" s="624"/>
      <c r="G2" s="624"/>
      <c r="H2" s="624"/>
      <c r="I2" s="624"/>
      <c r="J2" s="624"/>
      <c r="K2" s="335" t="s">
        <v>550</v>
      </c>
      <c r="L2" s="336">
        <v>1.96</v>
      </c>
      <c r="M2" s="470"/>
      <c r="N2" s="472">
        <v>0.95</v>
      </c>
      <c r="O2" s="470"/>
      <c r="P2" s="470"/>
    </row>
    <row r="3" spans="1:16"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row>
    <row r="4" spans="1:16" x14ac:dyDescent="0.25">
      <c r="A4" s="1" t="s">
        <v>28</v>
      </c>
      <c r="B4" s="3" t="s">
        <v>49</v>
      </c>
      <c r="C4" s="691" t="s">
        <v>30</v>
      </c>
      <c r="D4" s="757"/>
      <c r="E4" s="757"/>
      <c r="F4" s="757"/>
      <c r="G4" s="757"/>
      <c r="H4" s="757"/>
      <c r="I4" s="757"/>
      <c r="J4" s="757"/>
      <c r="K4" s="335" t="s">
        <v>552</v>
      </c>
      <c r="L4" s="335">
        <v>2.5779999999999998</v>
      </c>
      <c r="M4" s="470"/>
      <c r="N4" s="472">
        <v>0.99</v>
      </c>
      <c r="O4" s="470"/>
      <c r="P4" s="470"/>
    </row>
    <row r="5" spans="1:16" x14ac:dyDescent="0.25">
      <c r="A5" s="1" t="s">
        <v>29</v>
      </c>
      <c r="B5" s="32">
        <f>'Uncertainty Worksheet'!B51</f>
        <v>0</v>
      </c>
      <c r="C5" s="691"/>
      <c r="D5" s="757"/>
      <c r="E5" s="757"/>
      <c r="F5" s="757"/>
      <c r="G5" s="757"/>
      <c r="H5" s="757"/>
      <c r="I5" s="757"/>
      <c r="J5" s="757"/>
      <c r="K5" s="335" t="s">
        <v>553</v>
      </c>
      <c r="L5" s="336">
        <v>3</v>
      </c>
      <c r="M5" s="470"/>
      <c r="N5" s="471">
        <v>0.99729999999999996</v>
      </c>
      <c r="O5" s="470"/>
      <c r="P5" s="470"/>
    </row>
    <row r="6" spans="1:16" ht="45" x14ac:dyDescent="0.25">
      <c r="A6" s="1" t="s">
        <v>22</v>
      </c>
      <c r="B6" s="1" t="s">
        <v>0</v>
      </c>
      <c r="C6" s="1" t="s">
        <v>1</v>
      </c>
      <c r="D6" s="1" t="s">
        <v>2</v>
      </c>
      <c r="E6" s="1" t="s">
        <v>3</v>
      </c>
      <c r="F6" s="1" t="s">
        <v>4</v>
      </c>
      <c r="G6" s="1" t="s">
        <v>5</v>
      </c>
      <c r="H6" s="1" t="s">
        <v>32</v>
      </c>
      <c r="I6" s="2" t="s">
        <v>6</v>
      </c>
      <c r="J6" s="1" t="s">
        <v>31</v>
      </c>
      <c r="K6" s="335" t="s">
        <v>18</v>
      </c>
      <c r="L6" s="335">
        <v>0</v>
      </c>
      <c r="M6" s="470"/>
      <c r="N6" s="470"/>
      <c r="O6" s="470"/>
      <c r="P6" s="470"/>
    </row>
    <row r="7" spans="1:16" x14ac:dyDescent="0.25">
      <c r="A7" s="1" t="str">
        <f>'R &amp; R Between Techs'!A7</f>
        <v>Repeatability Between Techs</v>
      </c>
      <c r="B7" s="1" t="e">
        <f>'R &amp; R Between Techs'!D67</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c r="P7" s="470"/>
    </row>
    <row r="8" spans="1:16" x14ac:dyDescent="0.25">
      <c r="A8" s="62" t="str">
        <f>'R &amp; R Between Techs'!A8</f>
        <v>Reproducibility Between Techs</v>
      </c>
      <c r="B8" s="62" t="e">
        <f>'R &amp; R Between Techs'!E67</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c r="P8" s="470"/>
    </row>
    <row r="9" spans="1:16" x14ac:dyDescent="0.25">
      <c r="A9" s="76"/>
      <c r="B9" s="77"/>
      <c r="C9" s="78"/>
      <c r="D9" s="79"/>
      <c r="E9" s="80"/>
      <c r="F9" s="61"/>
      <c r="G9" s="81"/>
      <c r="H9" s="81"/>
      <c r="I9" s="82"/>
      <c r="J9" s="83"/>
      <c r="K9" s="335" t="s">
        <v>8</v>
      </c>
      <c r="L9" s="336">
        <v>1</v>
      </c>
      <c r="M9" s="470"/>
      <c r="N9" s="470"/>
      <c r="O9" s="470"/>
      <c r="P9" s="470"/>
    </row>
    <row r="10" spans="1:16"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row>
    <row r="11" spans="1:16" x14ac:dyDescent="0.25">
      <c r="A11" s="13" t="str">
        <f>'Uncertainty Worksheet'!A55</f>
        <v>ASTM E74 LLF</v>
      </c>
      <c r="B11" s="18">
        <f>IF(A11="ASTM E74 LLF",'Uncertainty Worksheet'!B55,
   IF(A11="ISO 376 Uncertainty",'Uncertainty Worksheet'!X30,
   IF(A11="ISO 376 % or % Per Point",'Uncertainty Worksheet'!M22,0)))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c r="P11" s="470"/>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row>
    <row r="13" spans="1:16" x14ac:dyDescent="0.25">
      <c r="A13" s="13" t="str">
        <f>'Uncertainty Worksheet'!A57</f>
        <v>Environmental Conditions</v>
      </c>
      <c r="B13" s="18">
        <f>'Uncertainty Worksheet'!T14</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row>
    <row r="14" spans="1:16" x14ac:dyDescent="0.25">
      <c r="A14" s="13" t="str">
        <f>'Uncertainty Worksheet'!A58</f>
        <v>Stability of  Ref Standard</v>
      </c>
      <c r="B14" s="18" t="str">
        <f>'Uncertainty Worksheet'!Q14</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row>
    <row r="15" spans="1:16"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c r="P15" s="470"/>
    </row>
    <row r="16" spans="1:16" ht="30" x14ac:dyDescent="0.25">
      <c r="A16" s="13" t="str">
        <f>'Uncertainty Worksheet'!A60</f>
        <v>Non ASTM or ISO 376 (Tolerance,Non-Linearity,SEB)</v>
      </c>
      <c r="B16" s="18" t="str">
        <f>'Uncertainty Worksheet'!R91</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Worksheet'!R57)</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06" t="s">
        <v>52</v>
      </c>
      <c r="E19" s="619"/>
      <c r="F19" s="620"/>
      <c r="G19" s="20">
        <f>SQRT(H19)</f>
        <v>6.9282032302755096E-3</v>
      </c>
      <c r="H19" s="21">
        <f>SUM(H7:H18)</f>
        <v>4.8000000000000008E-5</v>
      </c>
      <c r="I19" s="17">
        <f>SUM(I7:I18)</f>
        <v>1</v>
      </c>
      <c r="J19" s="16">
        <f>SUM(J7:J18)</f>
        <v>1.1520000000000004E-11</v>
      </c>
    </row>
    <row r="20" spans="1:13" x14ac:dyDescent="0.25">
      <c r="A20" s="7"/>
      <c r="B20" s="7"/>
      <c r="D20" s="644" t="s">
        <v>12</v>
      </c>
      <c r="E20" s="644"/>
      <c r="F20" s="644"/>
      <c r="G20" s="14">
        <f>IF(ISERROR(INT(G19^4/J19)), " ", INT(G19^4/J19))</f>
        <v>200</v>
      </c>
      <c r="H20" s="21"/>
      <c r="I20" s="6"/>
      <c r="J20" s="6"/>
    </row>
    <row r="21" spans="1:13" x14ac:dyDescent="0.25">
      <c r="A21" s="29"/>
      <c r="B21" s="7"/>
      <c r="D21" s="764" t="s">
        <v>538</v>
      </c>
      <c r="E21" s="765"/>
      <c r="F21" s="256">
        <f>'R &amp; R Between Techs'!F21</f>
        <v>0.95450000000000002</v>
      </c>
      <c r="G21" s="250">
        <f>IF(ISERROR(TINV((1-F21),G20)), " ", TINV((1-F21),G20))</f>
        <v>2.0125794050712815</v>
      </c>
      <c r="H21" s="25"/>
      <c r="I21" s="6"/>
      <c r="J21" s="6"/>
    </row>
    <row r="22" spans="1:13" x14ac:dyDescent="0.25">
      <c r="A22" s="7"/>
      <c r="B22" s="7"/>
      <c r="D22" s="692" t="s">
        <v>77</v>
      </c>
      <c r="E22" s="692"/>
      <c r="F22" s="692"/>
      <c r="G22" s="28">
        <f>IF(ISERROR(G19*G21), " ", G19*G21)</f>
        <v>1.3943559135400817E-2</v>
      </c>
      <c r="H22" s="30" t="e">
        <f>G22/(MAX(B25:B25))</f>
        <v>#DIV/0!</v>
      </c>
    </row>
    <row r="23" spans="1:13" x14ac:dyDescent="0.25">
      <c r="A23" s="677" t="s">
        <v>150</v>
      </c>
      <c r="B23" s="678"/>
      <c r="C23" s="678"/>
      <c r="D23" s="678"/>
      <c r="E23" s="678"/>
      <c r="F23" s="678"/>
      <c r="G23" s="678"/>
      <c r="H23" s="678"/>
      <c r="I23" s="678"/>
      <c r="J23" s="678"/>
      <c r="K23" s="678"/>
      <c r="L23" s="679"/>
    </row>
    <row r="24" spans="1:13" x14ac:dyDescent="0.25">
      <c r="A24" s="4">
        <v>8</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60">
        <f>'Uncertainty Worksheet'!B76</f>
        <v>0</v>
      </c>
      <c r="C25" s="460" t="str">
        <f>'Uncertainty Worksheet'!C76</f>
        <v/>
      </c>
      <c r="D25" s="460" t="str">
        <f>'Uncertainty Worksheet'!D76</f>
        <v/>
      </c>
      <c r="E25" s="460" t="str">
        <f>'Uncertainty Worksheet'!E76</f>
        <v/>
      </c>
      <c r="F25" s="460" t="str">
        <f>'Uncertainty Worksheet'!F76</f>
        <v/>
      </c>
      <c r="G25" s="460" t="str">
        <f>'Uncertainty Worksheet'!G76</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3" x14ac:dyDescent="0.25">
      <c r="C26" t="str">
        <f>IF(ISERROR(STDEV(I25:I25)), " ", STDEV(I25:I25))</f>
        <v xml:space="preserve"> </v>
      </c>
      <c r="D26" s="761" t="s">
        <v>45</v>
      </c>
      <c r="E26" s="762"/>
      <c r="F26" s="763"/>
      <c r="G26" s="454" t="e">
        <f>SQRT((SUMSQ(I25:I25)/COUNT(I25:I25)))</f>
        <v>#DIV/0!</v>
      </c>
      <c r="H26" s="24" t="e">
        <f>SQRT((SUMSQ(I25:I25)/COUNT(I25:I25)))</f>
        <v>#DIV/0!</v>
      </c>
      <c r="I26" s="232"/>
      <c r="J26" s="343" t="str">
        <f>IF(ISERROR(STDEV(J25:J25)), " ", STDEV(J25:J25))</f>
        <v xml:space="preserve"> </v>
      </c>
      <c r="K26" s="343" t="str">
        <f>IF(ISERROR(STDEV(K25:K25)), " ", STDEV(K25:K25))</f>
        <v xml:space="preserve"> </v>
      </c>
    </row>
    <row r="29" spans="1:13" x14ac:dyDescent="0.25">
      <c r="A29" s="58" t="s">
        <v>116</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22" priority="1" operator="greaterThan">
      <formula>999</formula>
    </cfRule>
    <cfRule type="cellIs" dxfId="21" priority="2" operator="greaterThan">
      <formula>1000</formula>
    </cfRule>
    <cfRule type="cellIs" dxfId="20"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B00-000000000000}">
      <formula1>$K$1:$K$12</formula1>
    </dataValidation>
    <dataValidation type="list" allowBlank="1" showInputMessage="1" showErrorMessage="1" promptTitle="Select Confidence Interval" prompt="Select Confidence Interval. Default is 95.45%" sqref="F21" xr:uid="{1FF84548-53B2-49EC-BE05-AC096DA50593}">
      <formula1>$N$1:$N$5</formula1>
    </dataValidation>
  </dataValidations>
  <pageMargins left="0.7" right="0.7" top="0.75" bottom="0.75" header="0.3" footer="0.3"/>
  <pageSetup scale="64" fitToHeight="0" orientation="landscape" r:id="rId1"/>
  <ignoredErrors>
    <ignoredError sqref="B25:G25 F21 B5 D3 D7:D8 A11:D17 A10 C10:D10 A18 C18:D18 F11 F17" unlockedFormula="1"/>
    <ignoredError sqref="B7:B8 G26:H26 K25:L25" evalError="1"/>
    <ignoredError sqref="B10 B18" evalError="1"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pageSetUpPr fitToPage="1"/>
  </sheetPr>
  <dimension ref="A1:Q33"/>
  <sheetViews>
    <sheetView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55" t="s">
        <v>23</v>
      </c>
      <c r="B1" s="755"/>
      <c r="C1" s="755"/>
      <c r="D1" s="755"/>
      <c r="E1" s="755"/>
      <c r="F1" s="755"/>
      <c r="G1" s="755"/>
      <c r="H1" s="755"/>
      <c r="I1" s="755"/>
      <c r="J1" s="755"/>
      <c r="K1" s="335" t="s">
        <v>549</v>
      </c>
      <c r="L1" s="336">
        <v>1</v>
      </c>
      <c r="M1" s="470"/>
      <c r="N1" s="471">
        <v>0.68269999999999997</v>
      </c>
      <c r="O1" s="470"/>
      <c r="P1" s="470"/>
      <c r="Q1" s="470"/>
    </row>
    <row r="2" spans="1:17" x14ac:dyDescent="0.25">
      <c r="A2" s="1" t="s">
        <v>24</v>
      </c>
      <c r="B2" s="624" t="s">
        <v>48</v>
      </c>
      <c r="C2" s="624"/>
      <c r="D2" s="624"/>
      <c r="E2" s="624"/>
      <c r="F2" s="624"/>
      <c r="G2" s="624"/>
      <c r="H2" s="624"/>
      <c r="I2" s="624"/>
      <c r="J2" s="624"/>
      <c r="K2" s="335" t="s">
        <v>550</v>
      </c>
      <c r="L2" s="336">
        <v>1.96</v>
      </c>
      <c r="M2" s="470"/>
      <c r="N2" s="472">
        <v>0.95</v>
      </c>
      <c r="O2" s="470"/>
      <c r="P2" s="470"/>
      <c r="Q2" s="470"/>
    </row>
    <row r="3" spans="1:17"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c r="Q3" s="470"/>
    </row>
    <row r="4" spans="1:17" x14ac:dyDescent="0.25">
      <c r="A4" s="1" t="s">
        <v>28</v>
      </c>
      <c r="B4" s="3" t="s">
        <v>49</v>
      </c>
      <c r="C4" s="691" t="s">
        <v>30</v>
      </c>
      <c r="D4" s="757"/>
      <c r="E4" s="757"/>
      <c r="F4" s="757"/>
      <c r="G4" s="757"/>
      <c r="H4" s="757"/>
      <c r="I4" s="757"/>
      <c r="J4" s="757"/>
      <c r="K4" s="335" t="s">
        <v>552</v>
      </c>
      <c r="L4" s="335">
        <v>2.5779999999999998</v>
      </c>
      <c r="M4" s="470"/>
      <c r="N4" s="472">
        <v>0.99</v>
      </c>
      <c r="O4" s="470"/>
      <c r="P4" s="470"/>
      <c r="Q4" s="470"/>
    </row>
    <row r="5" spans="1:17" x14ac:dyDescent="0.25">
      <c r="A5" s="1" t="s">
        <v>29</v>
      </c>
      <c r="B5" s="32">
        <f>'Uncertainty Worksheet'!B51</f>
        <v>0</v>
      </c>
      <c r="C5" s="691"/>
      <c r="D5" s="757"/>
      <c r="E5" s="757"/>
      <c r="F5" s="757"/>
      <c r="G5" s="757"/>
      <c r="H5" s="757"/>
      <c r="I5" s="757"/>
      <c r="J5" s="757"/>
      <c r="K5" s="335" t="s">
        <v>553</v>
      </c>
      <c r="L5" s="336">
        <v>3</v>
      </c>
      <c r="M5" s="470"/>
      <c r="N5" s="471">
        <v>0.99729999999999996</v>
      </c>
      <c r="O5" s="470"/>
      <c r="P5" s="470"/>
      <c r="Q5" s="470"/>
    </row>
    <row r="6" spans="1:17" ht="45" x14ac:dyDescent="0.25">
      <c r="A6" s="1" t="s">
        <v>22</v>
      </c>
      <c r="B6" s="1" t="s">
        <v>0</v>
      </c>
      <c r="C6" s="1" t="s">
        <v>1</v>
      </c>
      <c r="D6" s="1" t="s">
        <v>2</v>
      </c>
      <c r="E6" s="1" t="s">
        <v>3</v>
      </c>
      <c r="F6" s="1" t="s">
        <v>4</v>
      </c>
      <c r="G6" s="1" t="s">
        <v>5</v>
      </c>
      <c r="H6" s="1" t="s">
        <v>32</v>
      </c>
      <c r="I6" s="2" t="s">
        <v>6</v>
      </c>
      <c r="J6" s="1" t="s">
        <v>31</v>
      </c>
      <c r="K6" s="335" t="s">
        <v>18</v>
      </c>
      <c r="L6" s="335">
        <v>0</v>
      </c>
      <c r="M6" s="470"/>
      <c r="N6" s="470"/>
      <c r="O6" s="470"/>
      <c r="P6" s="470"/>
      <c r="Q6" s="470"/>
    </row>
    <row r="7" spans="1:17" x14ac:dyDescent="0.25">
      <c r="A7" s="1" t="str">
        <f>'R &amp; R Between Techs'!A7</f>
        <v>Repeatability Between Techs</v>
      </c>
      <c r="B7" s="1" t="e">
        <f>'R &amp; R Between Techs'!D68</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c r="P7" s="470"/>
      <c r="Q7" s="470"/>
    </row>
    <row r="8" spans="1:17" x14ac:dyDescent="0.25">
      <c r="A8" s="62" t="str">
        <f>'R &amp; R Between Techs'!A8</f>
        <v>Reproducibility Between Techs</v>
      </c>
      <c r="B8" s="62" t="e">
        <f>'R &amp; R Between Techs'!E68</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c r="P8" s="470"/>
      <c r="Q8" s="470"/>
    </row>
    <row r="9" spans="1:17" x14ac:dyDescent="0.25">
      <c r="A9" s="76"/>
      <c r="B9" s="77"/>
      <c r="C9" s="78"/>
      <c r="D9" s="79"/>
      <c r="E9" s="80"/>
      <c r="F9" s="61"/>
      <c r="G9" s="81"/>
      <c r="H9" s="81"/>
      <c r="I9" s="82"/>
      <c r="J9" s="83"/>
      <c r="K9" s="335" t="s">
        <v>8</v>
      </c>
      <c r="L9" s="336">
        <v>1</v>
      </c>
      <c r="M9" s="470"/>
      <c r="N9" s="470"/>
      <c r="O9" s="470"/>
      <c r="P9" s="470"/>
      <c r="Q9" s="470"/>
    </row>
    <row r="10" spans="1:17"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c r="Q10" s="470"/>
    </row>
    <row r="11" spans="1:17" x14ac:dyDescent="0.25">
      <c r="A11" s="13" t="str">
        <f>'Uncertainty Worksheet'!A55</f>
        <v>ASTM E74 LLF</v>
      </c>
      <c r="B11" s="18">
        <f>IF(A11="ASTM E74 LLF",'Uncertainty Worksheet'!B55,
   IF(A11="ISO 376 Uncertainty",'Uncertainty Worksheet'!X30,
   IF(A11="ISO 376 % or % Per Point",'Uncertainty Worksheet'!M23,0)))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c r="P11" s="470"/>
      <c r="Q11" s="470"/>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c r="Q12" s="470"/>
    </row>
    <row r="13" spans="1:17" x14ac:dyDescent="0.25">
      <c r="A13" s="13" t="str">
        <f>'Uncertainty Worksheet'!A57</f>
        <v>Environmental Conditions</v>
      </c>
      <c r="B13" s="18">
        <f>'Uncertainty Worksheet'!T15</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c r="Q13" s="470"/>
    </row>
    <row r="14" spans="1:17" x14ac:dyDescent="0.25">
      <c r="A14" s="13" t="str">
        <f>'Uncertainty Worksheet'!A58</f>
        <v>Stability of  Ref Standard</v>
      </c>
      <c r="B14" s="18" t="str">
        <f>'Uncertainty Worksheet'!Q15</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c r="Q14" s="470"/>
    </row>
    <row r="15" spans="1:17"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c r="P15" s="470"/>
      <c r="Q15" s="470"/>
    </row>
    <row r="16" spans="1:17" ht="30" x14ac:dyDescent="0.25">
      <c r="A16" s="13" t="str">
        <f>'Uncertainty Worksheet'!A60</f>
        <v>Non ASTM or ISO 376 (Tolerance,Non-Linearity,SEB)</v>
      </c>
      <c r="B16" s="18" t="str">
        <f>'Uncertainty Worksheet'!R92</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70"/>
      <c r="L16" s="470"/>
      <c r="M16" s="470"/>
      <c r="N16" s="470"/>
      <c r="O16" s="470"/>
      <c r="P16" s="470"/>
      <c r="Q16" s="470"/>
    </row>
    <row r="17" spans="1:13" x14ac:dyDescent="0.25">
      <c r="A17" s="13" t="str">
        <f>'Uncertainty Worksheet'!A61</f>
        <v>Miscellaneous Error</v>
      </c>
      <c r="B17" s="18" t="str">
        <f>IF('Uncertainty Worksheet'!B61=0, "",'Uncertainty Worksheet'!R58)</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06" t="s">
        <v>52</v>
      </c>
      <c r="E19" s="619"/>
      <c r="F19" s="620"/>
      <c r="G19" s="20">
        <f>SQRT(H19)</f>
        <v>6.9282032302755096E-3</v>
      </c>
      <c r="H19" s="21">
        <f>SUM(H7:H18)</f>
        <v>4.8000000000000008E-5</v>
      </c>
      <c r="I19" s="17">
        <f>SUM(I7:I18)</f>
        <v>1</v>
      </c>
      <c r="J19" s="16">
        <f>SUM(J7:J18)</f>
        <v>1.1520000000000004E-11</v>
      </c>
    </row>
    <row r="20" spans="1:13" x14ac:dyDescent="0.25">
      <c r="A20" s="7"/>
      <c r="B20" s="7"/>
      <c r="D20" s="644" t="s">
        <v>12</v>
      </c>
      <c r="E20" s="644"/>
      <c r="F20" s="644"/>
      <c r="G20" s="14">
        <f>IF(ISERROR(INT(G19^4/J19)), " ", INT(G19^4/J19))</f>
        <v>200</v>
      </c>
      <c r="H20" s="21"/>
      <c r="I20" s="6"/>
      <c r="J20" s="6"/>
    </row>
    <row r="21" spans="1:13" x14ac:dyDescent="0.25">
      <c r="A21" s="29"/>
      <c r="B21" s="7"/>
      <c r="D21" s="764" t="s">
        <v>538</v>
      </c>
      <c r="E21" s="765"/>
      <c r="F21" s="256">
        <f>'R &amp; R Between Techs'!F21</f>
        <v>0.95450000000000002</v>
      </c>
      <c r="G21" s="250">
        <f>IF(ISERROR(TINV((1-F21),G20)), " ", TINV((1-F21),G20))</f>
        <v>2.0125794050712815</v>
      </c>
      <c r="H21" s="25"/>
      <c r="I21" s="6"/>
      <c r="J21" s="6"/>
    </row>
    <row r="22" spans="1:13" x14ac:dyDescent="0.25">
      <c r="A22" s="7"/>
      <c r="B22" s="7"/>
      <c r="D22" s="692" t="s">
        <v>53</v>
      </c>
      <c r="E22" s="692"/>
      <c r="F22" s="692"/>
      <c r="G22" s="28">
        <f>IF(ISERROR(G19*G21), " ", G19*G21)</f>
        <v>1.3943559135400817E-2</v>
      </c>
      <c r="H22" s="30" t="e">
        <f>G22/(MAX(B25:B25))</f>
        <v>#DIV/0!</v>
      </c>
    </row>
    <row r="23" spans="1:13" x14ac:dyDescent="0.25">
      <c r="A23" s="677" t="s">
        <v>150</v>
      </c>
      <c r="B23" s="678"/>
      <c r="C23" s="678"/>
      <c r="D23" s="678"/>
      <c r="E23" s="678"/>
      <c r="F23" s="678"/>
      <c r="G23" s="678"/>
      <c r="H23" s="678"/>
      <c r="I23" s="678"/>
      <c r="J23" s="678"/>
      <c r="K23" s="678"/>
      <c r="L23" s="679"/>
    </row>
    <row r="24" spans="1:13" x14ac:dyDescent="0.25">
      <c r="A24" s="4">
        <v>9</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60">
        <f>'Uncertainty Worksheet'!B77</f>
        <v>0</v>
      </c>
      <c r="C25" s="460" t="str">
        <f>'Uncertainty Worksheet'!C77</f>
        <v/>
      </c>
      <c r="D25" s="460" t="str">
        <f>'Uncertainty Worksheet'!D77</f>
        <v/>
      </c>
      <c r="E25" s="460" t="str">
        <f>'Uncertainty Worksheet'!E77</f>
        <v/>
      </c>
      <c r="F25" s="460" t="str">
        <f>'Uncertainty Worksheet'!F77</f>
        <v/>
      </c>
      <c r="G25" s="460" t="str">
        <f>'Uncertainty Worksheet'!G77</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3" x14ac:dyDescent="0.25">
      <c r="C26" t="str">
        <f>IF(ISERROR(STDEV(I25:I25)), " ", STDEV(I25:I25))</f>
        <v xml:space="preserve"> </v>
      </c>
      <c r="D26" s="761" t="s">
        <v>45</v>
      </c>
      <c r="E26" s="762"/>
      <c r="F26" s="763"/>
      <c r="G26" s="454" t="e">
        <f>SQRT((SUMSQ(I25:I25)/COUNT(I25:I25)))</f>
        <v>#DIV/0!</v>
      </c>
      <c r="I26" s="232"/>
      <c r="J26" s="343" t="str">
        <f>IF(ISERROR(STDEV(J25:J25)), " ", STDEV(J25:J25))</f>
        <v xml:space="preserve"> </v>
      </c>
      <c r="K26" s="343" t="str">
        <f>IF(ISERROR(STDEV(K25:K25)), " ", STDEV(K25:K25))</f>
        <v xml:space="preserve"> </v>
      </c>
    </row>
    <row r="29" spans="1:13" x14ac:dyDescent="0.25">
      <c r="A29" s="58" t="s">
        <v>117</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19" priority="1" operator="greaterThan">
      <formula>999</formula>
    </cfRule>
    <cfRule type="cellIs" dxfId="18" priority="2" operator="greaterThan">
      <formula>1000</formula>
    </cfRule>
    <cfRule type="cellIs" dxfId="17"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C00-000000000000}">
      <formula1>$K$1:$K$12</formula1>
    </dataValidation>
    <dataValidation type="list" allowBlank="1" showInputMessage="1" showErrorMessage="1" promptTitle="Select Confidence Interval" prompt="Select Confidence Interval. Default is 95.45%" sqref="F21" xr:uid="{4EA9FFC2-584C-4789-8F6A-45245865C218}">
      <formula1>$N$1:$N$5</formula1>
    </dataValidation>
  </dataValidations>
  <pageMargins left="0.7" right="0.7" top="0.75" bottom="0.75" header="0.3" footer="0.3"/>
  <pageSetup scale="64" fitToHeight="0" orientation="landscape" r:id="rId1"/>
  <ignoredErrors>
    <ignoredError sqref="B25:G25 F21 D3 B5 D7:D8 A10:A18 D10:F16 D18:F18 D17 F17" unlockedFormula="1"/>
    <ignoredError sqref="B7:B8 G26 K25:L25" evalError="1"/>
    <ignoredError sqref="B10:C18" evalError="1" unlockedFormula="1"/>
    <ignoredError sqref="E17" formula="1"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pageSetUpPr fitToPage="1"/>
  </sheetPr>
  <dimension ref="A1:P33"/>
  <sheetViews>
    <sheetView topLeftCell="A6"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55" t="s">
        <v>23</v>
      </c>
      <c r="B1" s="755"/>
      <c r="C1" s="755"/>
      <c r="D1" s="755"/>
      <c r="E1" s="755"/>
      <c r="F1" s="755"/>
      <c r="G1" s="755"/>
      <c r="H1" s="755"/>
      <c r="I1" s="755"/>
      <c r="J1" s="755"/>
      <c r="K1" s="335" t="s">
        <v>549</v>
      </c>
      <c r="L1" s="336">
        <v>1</v>
      </c>
      <c r="M1" s="470"/>
      <c r="N1" s="471">
        <v>0.68269999999999997</v>
      </c>
      <c r="O1" s="470"/>
      <c r="P1" s="470"/>
    </row>
    <row r="2" spans="1:16" x14ac:dyDescent="0.25">
      <c r="A2" s="1" t="s">
        <v>24</v>
      </c>
      <c r="B2" s="624" t="s">
        <v>48</v>
      </c>
      <c r="C2" s="624"/>
      <c r="D2" s="624"/>
      <c r="E2" s="624"/>
      <c r="F2" s="624"/>
      <c r="G2" s="624"/>
      <c r="H2" s="624"/>
      <c r="I2" s="624"/>
      <c r="J2" s="624"/>
      <c r="K2" s="335" t="s">
        <v>550</v>
      </c>
      <c r="L2" s="336">
        <v>1.96</v>
      </c>
      <c r="M2" s="470"/>
      <c r="N2" s="472">
        <v>0.95</v>
      </c>
      <c r="O2" s="470"/>
      <c r="P2" s="470"/>
    </row>
    <row r="3" spans="1:16"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row>
    <row r="4" spans="1:16" x14ac:dyDescent="0.25">
      <c r="A4" s="1" t="s">
        <v>28</v>
      </c>
      <c r="B4" s="3" t="s">
        <v>49</v>
      </c>
      <c r="C4" s="691" t="s">
        <v>30</v>
      </c>
      <c r="D4" s="757"/>
      <c r="E4" s="757"/>
      <c r="F4" s="757"/>
      <c r="G4" s="757"/>
      <c r="H4" s="757"/>
      <c r="I4" s="757"/>
      <c r="J4" s="757"/>
      <c r="K4" s="335" t="s">
        <v>552</v>
      </c>
      <c r="L4" s="335">
        <v>2.5779999999999998</v>
      </c>
      <c r="M4" s="470"/>
      <c r="N4" s="472">
        <v>0.99</v>
      </c>
      <c r="O4" s="470"/>
      <c r="P4" s="470"/>
    </row>
    <row r="5" spans="1:16" x14ac:dyDescent="0.25">
      <c r="A5" s="1" t="s">
        <v>29</v>
      </c>
      <c r="B5" s="32">
        <f>'Uncertainty Worksheet'!B51</f>
        <v>0</v>
      </c>
      <c r="C5" s="691"/>
      <c r="D5" s="757"/>
      <c r="E5" s="757"/>
      <c r="F5" s="757"/>
      <c r="G5" s="757"/>
      <c r="H5" s="757"/>
      <c r="I5" s="757"/>
      <c r="J5" s="757"/>
      <c r="K5" s="335" t="s">
        <v>553</v>
      </c>
      <c r="L5" s="336">
        <v>3</v>
      </c>
      <c r="M5" s="470"/>
      <c r="N5" s="471">
        <v>0.99729999999999996</v>
      </c>
      <c r="O5" s="470"/>
      <c r="P5" s="470"/>
    </row>
    <row r="6" spans="1:16" ht="45" x14ac:dyDescent="0.25">
      <c r="A6" s="1" t="s">
        <v>22</v>
      </c>
      <c r="B6" s="1" t="s">
        <v>0</v>
      </c>
      <c r="C6" s="1" t="s">
        <v>1</v>
      </c>
      <c r="D6" s="1" t="s">
        <v>2</v>
      </c>
      <c r="E6" s="1" t="s">
        <v>3</v>
      </c>
      <c r="F6" s="1" t="s">
        <v>4</v>
      </c>
      <c r="G6" s="1" t="s">
        <v>5</v>
      </c>
      <c r="H6" s="1" t="s">
        <v>32</v>
      </c>
      <c r="I6" s="2" t="s">
        <v>6</v>
      </c>
      <c r="J6" s="1" t="s">
        <v>31</v>
      </c>
      <c r="K6" s="335" t="s">
        <v>18</v>
      </c>
      <c r="L6" s="335">
        <v>0</v>
      </c>
      <c r="M6" s="470"/>
      <c r="N6" s="470"/>
      <c r="O6" s="470"/>
      <c r="P6" s="470"/>
    </row>
    <row r="7" spans="1:16" x14ac:dyDescent="0.25">
      <c r="A7" s="1" t="str">
        <f>'R &amp; R Between Techs'!A7</f>
        <v>Repeatability Between Techs</v>
      </c>
      <c r="B7" s="1" t="e">
        <f>'R &amp; R Between Techs'!D69</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c r="P7" s="470"/>
    </row>
    <row r="8" spans="1:16" x14ac:dyDescent="0.25">
      <c r="A8" s="62" t="str">
        <f>'R &amp; R Between Techs'!A8</f>
        <v>Reproducibility Between Techs</v>
      </c>
      <c r="B8" s="62" t="e">
        <f>'R &amp; R Between Techs'!E69</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c r="P8" s="470"/>
    </row>
    <row r="9" spans="1:16" x14ac:dyDescent="0.25">
      <c r="A9" s="76"/>
      <c r="B9" s="77"/>
      <c r="C9" s="78"/>
      <c r="D9" s="79"/>
      <c r="E9" s="80"/>
      <c r="F9" s="61"/>
      <c r="G9" s="81"/>
      <c r="H9" s="81"/>
      <c r="I9" s="82"/>
      <c r="J9" s="83"/>
      <c r="K9" s="335" t="s">
        <v>8</v>
      </c>
      <c r="L9" s="336">
        <v>1</v>
      </c>
      <c r="M9" s="470"/>
      <c r="N9" s="470"/>
      <c r="O9" s="470"/>
      <c r="P9" s="470"/>
    </row>
    <row r="10" spans="1:16"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row>
    <row r="11" spans="1:16" x14ac:dyDescent="0.25">
      <c r="A11" s="13" t="str">
        <f>'Uncertainty Worksheet'!A55</f>
        <v>ASTM E74 LLF</v>
      </c>
      <c r="B11" s="18">
        <f>IF(A11="ASTM E74 LLF",'Uncertainty Worksheet'!B55,
   IF(A11="ISO 376 Uncertainty",'Uncertainty Worksheet'!X30,
   IF(A11="ISO 376 % or % Per Point",'Uncertainty Worksheet'!M24,0)))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COUNT(C25:F25)-1</f>
        <v>-1</v>
      </c>
      <c r="P11" s="470"/>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row>
    <row r="13" spans="1:16" x14ac:dyDescent="0.25">
      <c r="A13" s="13" t="str">
        <f>'Uncertainty Worksheet'!A57</f>
        <v>Environmental Conditions</v>
      </c>
      <c r="B13" s="18">
        <f>'Uncertainty Worksheet'!T16</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row>
    <row r="14" spans="1:16" x14ac:dyDescent="0.25">
      <c r="A14" s="13" t="str">
        <f>'Uncertainty Worksheet'!A58</f>
        <v>Stability of  Ref Standard</v>
      </c>
      <c r="B14" s="18" t="str">
        <f>'Uncertainty Worksheet'!Q16</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row>
    <row r="15" spans="1:16"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c r="P15" s="470"/>
    </row>
    <row r="16" spans="1:16" ht="30" x14ac:dyDescent="0.25">
      <c r="A16" s="13" t="str">
        <f>'Uncertainty Worksheet'!A60</f>
        <v>Non ASTM or ISO 376 (Tolerance,Non-Linearity,SEB)</v>
      </c>
      <c r="B16" s="18" t="str">
        <f>'Uncertainty Worksheet'!R93</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70"/>
      <c r="L16" s="470"/>
      <c r="M16" s="470"/>
      <c r="N16" s="470"/>
      <c r="O16" s="470"/>
      <c r="P16" s="470"/>
    </row>
    <row r="17" spans="1:13" x14ac:dyDescent="0.25">
      <c r="A17" s="13" t="str">
        <f>'Uncertainty Worksheet'!A61</f>
        <v>Miscellaneous Error</v>
      </c>
      <c r="B17" s="18" t="str">
        <f>IF('Uncertainty Worksheet'!B61=0, "",'Uncertainty Worksheet'!R59)</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06" t="s">
        <v>52</v>
      </c>
      <c r="E19" s="619"/>
      <c r="F19" s="620"/>
      <c r="G19" s="20">
        <f>SQRT(H19)</f>
        <v>6.9282032302755096E-3</v>
      </c>
      <c r="H19" s="21">
        <f>SUM(H7:H18)</f>
        <v>4.8000000000000008E-5</v>
      </c>
      <c r="I19" s="17">
        <f>SUM(I7:I18)</f>
        <v>1</v>
      </c>
      <c r="J19" s="16">
        <f>SUM(J7:J18)</f>
        <v>1.1520000000000004E-11</v>
      </c>
    </row>
    <row r="20" spans="1:13" x14ac:dyDescent="0.25">
      <c r="A20" s="7"/>
      <c r="B20" s="7"/>
      <c r="D20" s="644" t="s">
        <v>12</v>
      </c>
      <c r="E20" s="644"/>
      <c r="F20" s="644"/>
      <c r="G20" s="14">
        <f>IF(ISERROR(INT(G19^4/J19)), " ", INT(G19^4/J19))</f>
        <v>200</v>
      </c>
      <c r="H20" s="21"/>
      <c r="I20" s="6"/>
      <c r="J20" s="6"/>
    </row>
    <row r="21" spans="1:13" x14ac:dyDescent="0.25">
      <c r="A21" s="29"/>
      <c r="B21" s="7"/>
      <c r="D21" s="764" t="s">
        <v>538</v>
      </c>
      <c r="E21" s="765"/>
      <c r="F21" s="256">
        <f>'R &amp; R Between Techs'!F21</f>
        <v>0.95450000000000002</v>
      </c>
      <c r="G21" s="250">
        <f>IF(ISERROR(TINV((1-F21),G20)), " ", TINV((1-F21),G20))</f>
        <v>2.0125794050712815</v>
      </c>
      <c r="H21" s="25"/>
      <c r="I21" s="6"/>
      <c r="J21" s="6"/>
    </row>
    <row r="22" spans="1:13" x14ac:dyDescent="0.25">
      <c r="A22" s="7"/>
      <c r="B22" s="7"/>
      <c r="D22" s="692" t="s">
        <v>77</v>
      </c>
      <c r="E22" s="692"/>
      <c r="F22" s="692"/>
      <c r="G22" s="28">
        <f>IF(ISERROR(G19*G21), " ", G19*G21)</f>
        <v>1.3943559135400817E-2</v>
      </c>
      <c r="H22" s="30" t="e">
        <f>G22/(MAX(B25:B25))</f>
        <v>#DIV/0!</v>
      </c>
    </row>
    <row r="23" spans="1:13" x14ac:dyDescent="0.25">
      <c r="A23" s="677" t="s">
        <v>150</v>
      </c>
      <c r="B23" s="678"/>
      <c r="C23" s="678"/>
      <c r="D23" s="678"/>
      <c r="E23" s="678"/>
      <c r="F23" s="678"/>
      <c r="G23" s="678"/>
      <c r="H23" s="678"/>
      <c r="I23" s="678"/>
      <c r="J23" s="678"/>
      <c r="K23" s="678"/>
      <c r="L23" s="679"/>
    </row>
    <row r="24" spans="1:13" x14ac:dyDescent="0.25">
      <c r="A24" s="4">
        <v>10</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60">
        <f>'Uncertainty Worksheet'!B78</f>
        <v>0</v>
      </c>
      <c r="C25" s="460" t="str">
        <f>'Uncertainty Worksheet'!C78</f>
        <v/>
      </c>
      <c r="D25" s="460" t="str">
        <f>'Uncertainty Worksheet'!D78</f>
        <v/>
      </c>
      <c r="E25" s="460" t="str">
        <f>'Uncertainty Worksheet'!E78</f>
        <v/>
      </c>
      <c r="F25" s="460" t="str">
        <f>'Uncertainty Worksheet'!F78</f>
        <v/>
      </c>
      <c r="G25" s="460" t="str">
        <f>'Uncertainty Worksheet'!G78</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3" x14ac:dyDescent="0.25">
      <c r="C26" t="str">
        <f>IF(ISERROR(STDEV(I25:I25)), " ", STDEV(I25:I25))</f>
        <v xml:space="preserve"> </v>
      </c>
      <c r="D26" s="761" t="s">
        <v>45</v>
      </c>
      <c r="E26" s="762"/>
      <c r="F26" s="763"/>
      <c r="G26" s="454" t="e">
        <f>SQRT((SUMSQ(I25:I25)/COUNT(I25:I25)))</f>
        <v>#DIV/0!</v>
      </c>
      <c r="I26" s="232"/>
      <c r="J26" s="343" t="str">
        <f>IF(ISERROR(STDEV(J25:J25)), " ", STDEV(J25:J25))</f>
        <v xml:space="preserve"> </v>
      </c>
      <c r="K26" s="343" t="str">
        <f>IF(ISERROR(STDEV(K25:K25)), " ", STDEV(K25:K25))</f>
        <v xml:space="preserve"> </v>
      </c>
    </row>
    <row r="29" spans="1:13" x14ac:dyDescent="0.25">
      <c r="A29" s="58" t="s">
        <v>119</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16" priority="1" operator="greaterThan">
      <formula>999</formula>
    </cfRule>
    <cfRule type="cellIs" dxfId="15" priority="2" operator="greaterThan">
      <formula>1000</formula>
    </cfRule>
    <cfRule type="cellIs" dxfId="14"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D00-000000000000}">
      <formula1>$K$1:$K$12</formula1>
    </dataValidation>
    <dataValidation type="list" allowBlank="1" showInputMessage="1" showErrorMessage="1" promptTitle="Select Confidence Interval" prompt="Select Confidence Interval. Default is 95.45%" sqref="F21" xr:uid="{B1CFDC47-AD63-40D3-ADEA-C09508D5E617}">
      <formula1>$N$1:$N$5</formula1>
    </dataValidation>
  </dataValidations>
  <pageMargins left="0.7" right="0.7" top="0.75" bottom="0.75" header="0.3" footer="0.3"/>
  <pageSetup scale="64" fitToHeight="0" orientation="landscape" r:id="rId1"/>
  <ignoredErrors>
    <ignoredError sqref="B25:G25 F21 D3 B5 A11:F17 A10 C10:F10 A18 C18:F18" unlockedFormula="1"/>
    <ignoredError sqref="B7:C8 G26 K25:L25" evalError="1"/>
    <ignoredError sqref="D7:D8 B10 B18" evalError="1"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pageSetUpPr fitToPage="1"/>
  </sheetPr>
  <dimension ref="A1:Q33"/>
  <sheetViews>
    <sheetView topLeftCell="A6" zoomScale="130" zoomScaleNormal="130" workbookViewId="0">
      <selection activeCell="K25" sqref="K25:L25"/>
    </sheetView>
  </sheetViews>
  <sheetFormatPr defaultRowHeight="15" x14ac:dyDescent="0.25"/>
  <cols>
    <col min="1" max="1" width="34" customWidth="1"/>
    <col min="2" max="2" width="15.5703125" customWidth="1"/>
    <col min="3" max="3" width="14.85546875" bestFit="1"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55" t="s">
        <v>23</v>
      </c>
      <c r="B1" s="755"/>
      <c r="C1" s="755"/>
      <c r="D1" s="755"/>
      <c r="E1" s="755"/>
      <c r="F1" s="755"/>
      <c r="G1" s="755"/>
      <c r="H1" s="755"/>
      <c r="I1" s="755"/>
      <c r="J1" s="755"/>
      <c r="K1" s="335" t="s">
        <v>549</v>
      </c>
      <c r="L1" s="336">
        <v>1</v>
      </c>
      <c r="M1" s="470"/>
      <c r="N1" s="471">
        <v>0.68269999999999997</v>
      </c>
      <c r="O1" s="470"/>
      <c r="P1" s="470"/>
      <c r="Q1" s="470"/>
    </row>
    <row r="2" spans="1:17" x14ac:dyDescent="0.25">
      <c r="A2" s="1" t="s">
        <v>24</v>
      </c>
      <c r="B2" s="624" t="s">
        <v>48</v>
      </c>
      <c r="C2" s="624"/>
      <c r="D2" s="624"/>
      <c r="E2" s="624"/>
      <c r="F2" s="624"/>
      <c r="G2" s="624"/>
      <c r="H2" s="624"/>
      <c r="I2" s="624"/>
      <c r="J2" s="624"/>
      <c r="K2" s="335" t="s">
        <v>550</v>
      </c>
      <c r="L2" s="336">
        <v>1.96</v>
      </c>
      <c r="M2" s="470"/>
      <c r="N2" s="472">
        <v>0.95</v>
      </c>
      <c r="O2" s="470"/>
      <c r="P2" s="470"/>
      <c r="Q2" s="470"/>
    </row>
    <row r="3" spans="1:17"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c r="Q3" s="470"/>
    </row>
    <row r="4" spans="1:17" x14ac:dyDescent="0.25">
      <c r="A4" s="1" t="s">
        <v>28</v>
      </c>
      <c r="B4" s="3" t="s">
        <v>49</v>
      </c>
      <c r="C4" s="691" t="s">
        <v>30</v>
      </c>
      <c r="D4" s="757"/>
      <c r="E4" s="757"/>
      <c r="F4" s="757"/>
      <c r="G4" s="757"/>
      <c r="H4" s="757"/>
      <c r="I4" s="757"/>
      <c r="J4" s="757"/>
      <c r="K4" s="335" t="s">
        <v>552</v>
      </c>
      <c r="L4" s="335">
        <v>2.5779999999999998</v>
      </c>
      <c r="M4" s="470"/>
      <c r="N4" s="472">
        <v>0.99</v>
      </c>
      <c r="O4" s="470"/>
      <c r="P4" s="470"/>
      <c r="Q4" s="470"/>
    </row>
    <row r="5" spans="1:17" x14ac:dyDescent="0.25">
      <c r="A5" s="1" t="s">
        <v>29</v>
      </c>
      <c r="B5" s="32">
        <f>'Uncertainty Worksheet'!B51</f>
        <v>0</v>
      </c>
      <c r="C5" s="691"/>
      <c r="D5" s="757"/>
      <c r="E5" s="757"/>
      <c r="F5" s="757"/>
      <c r="G5" s="757"/>
      <c r="H5" s="757"/>
      <c r="I5" s="757"/>
      <c r="J5" s="757"/>
      <c r="K5" s="335" t="s">
        <v>553</v>
      </c>
      <c r="L5" s="336">
        <v>3</v>
      </c>
      <c r="M5" s="470"/>
      <c r="N5" s="471">
        <v>0.99729999999999996</v>
      </c>
      <c r="O5" s="470"/>
      <c r="P5" s="470"/>
      <c r="Q5" s="470"/>
    </row>
    <row r="6" spans="1:17" ht="45" x14ac:dyDescent="0.25">
      <c r="A6" s="1" t="s">
        <v>22</v>
      </c>
      <c r="B6" s="1" t="s">
        <v>0</v>
      </c>
      <c r="C6" s="1" t="s">
        <v>1</v>
      </c>
      <c r="D6" s="1" t="s">
        <v>2</v>
      </c>
      <c r="E6" s="1" t="s">
        <v>3</v>
      </c>
      <c r="F6" s="1" t="s">
        <v>4</v>
      </c>
      <c r="G6" s="1" t="s">
        <v>5</v>
      </c>
      <c r="H6" s="1" t="s">
        <v>32</v>
      </c>
      <c r="I6" s="2" t="s">
        <v>6</v>
      </c>
      <c r="J6" s="1" t="s">
        <v>31</v>
      </c>
      <c r="K6" s="335" t="s">
        <v>18</v>
      </c>
      <c r="L6" s="335">
        <v>0</v>
      </c>
      <c r="M6" s="470"/>
      <c r="N6" s="470"/>
      <c r="O6" s="470"/>
      <c r="P6" s="470"/>
      <c r="Q6" s="470"/>
    </row>
    <row r="7" spans="1:17" x14ac:dyDescent="0.25">
      <c r="A7" s="1" t="str">
        <f>'R &amp; R Between Techs'!A7</f>
        <v>Repeatability Between Techs</v>
      </c>
      <c r="B7" s="1" t="e">
        <f>'R &amp; R Between Techs'!D70</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c r="P7" s="470"/>
      <c r="Q7" s="470"/>
    </row>
    <row r="8" spans="1:17" x14ac:dyDescent="0.25">
      <c r="A8" s="62" t="str">
        <f>'R &amp; R Between Techs'!A8</f>
        <v>Reproducibility Between Techs</v>
      </c>
      <c r="B8" s="62" t="e">
        <f>'R &amp; R Between Techs'!E70</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c r="P8" s="470"/>
      <c r="Q8" s="470"/>
    </row>
    <row r="9" spans="1:17" x14ac:dyDescent="0.25">
      <c r="A9" s="76"/>
      <c r="B9" s="77"/>
      <c r="C9" s="78"/>
      <c r="D9" s="79"/>
      <c r="E9" s="80"/>
      <c r="F9" s="61"/>
      <c r="G9" s="81"/>
      <c r="H9" s="81"/>
      <c r="I9" s="82"/>
      <c r="J9" s="83"/>
      <c r="K9" s="335" t="s">
        <v>8</v>
      </c>
      <c r="L9" s="336">
        <v>1</v>
      </c>
      <c r="M9" s="470"/>
      <c r="N9" s="470"/>
      <c r="O9" s="470"/>
      <c r="P9" s="470"/>
      <c r="Q9" s="470"/>
    </row>
    <row r="10" spans="1:17"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c r="Q10" s="470"/>
    </row>
    <row r="11" spans="1:17" x14ac:dyDescent="0.25">
      <c r="A11" s="13" t="str">
        <f>'Uncertainty Worksheet'!A55</f>
        <v>ASTM E74 LLF</v>
      </c>
      <c r="B11" s="18">
        <f>IF(A11="ASTM E74 LLF",'Uncertainty Worksheet'!B55,
   IF(A11="ISO 376 Uncertainty",'Uncertainty Worksheet'!X30,
   IF(A11="ISO 376 % or % Per Point",'Uncertainty Worksheet'!M25,0)))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c r="P11" s="470"/>
      <c r="Q11" s="470"/>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c r="Q12" s="470"/>
    </row>
    <row r="13" spans="1:17" x14ac:dyDescent="0.25">
      <c r="A13" s="13" t="str">
        <f>'Uncertainty Worksheet'!A57</f>
        <v>Environmental Conditions</v>
      </c>
      <c r="B13" s="18">
        <f>'Uncertainty Worksheet'!T17</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c r="Q13" s="470"/>
    </row>
    <row r="14" spans="1:17" x14ac:dyDescent="0.25">
      <c r="A14" s="13" t="str">
        <f>'Uncertainty Worksheet'!A58</f>
        <v>Stability of  Ref Standard</v>
      </c>
      <c r="B14" s="18" t="str">
        <f>'Uncertainty Worksheet'!Q17</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c r="Q14" s="470"/>
    </row>
    <row r="15" spans="1:17"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c r="P15" s="470"/>
      <c r="Q15" s="470"/>
    </row>
    <row r="16" spans="1:17" ht="30" x14ac:dyDescent="0.25">
      <c r="A16" s="13" t="str">
        <f>'Uncertainty Worksheet'!A60</f>
        <v>Non ASTM or ISO 376 (Tolerance,Non-Linearity,SEB)</v>
      </c>
      <c r="B16" s="18" t="str">
        <f>'Uncertainty Worksheet'!R94</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70"/>
      <c r="L16" s="470"/>
      <c r="M16" s="470"/>
      <c r="N16" s="470"/>
      <c r="O16" s="470"/>
      <c r="P16" s="470"/>
      <c r="Q16" s="470"/>
    </row>
    <row r="17" spans="1:15" x14ac:dyDescent="0.25">
      <c r="A17" s="13" t="str">
        <f>'Uncertainty Worksheet'!A61</f>
        <v>Miscellaneous Error</v>
      </c>
      <c r="B17" s="18" t="str">
        <f>IF('Uncertainty Worksheet'!B61=0, "",'Uncertainty Worksheet'!R60)</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c r="K17" s="464"/>
      <c r="L17" s="464"/>
      <c r="M17" s="464"/>
      <c r="N17" s="464"/>
      <c r="O17" s="464"/>
    </row>
    <row r="18" spans="1:15"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c r="K18" s="464"/>
      <c r="L18" s="464"/>
      <c r="M18" s="464"/>
      <c r="N18" s="464"/>
      <c r="O18" s="464"/>
    </row>
    <row r="19" spans="1:15" ht="18" x14ac:dyDescent="0.35">
      <c r="A19" s="7"/>
      <c r="B19" s="7"/>
      <c r="D19" s="706" t="s">
        <v>52</v>
      </c>
      <c r="E19" s="619"/>
      <c r="F19" s="620"/>
      <c r="G19" s="20">
        <f>SQRT(H19)</f>
        <v>6.9282032302755096E-3</v>
      </c>
      <c r="H19" s="21">
        <f>SUM(H7:H18)</f>
        <v>4.8000000000000008E-5</v>
      </c>
      <c r="I19" s="17">
        <f>SUM(I7:I18)</f>
        <v>1</v>
      </c>
      <c r="J19" s="16">
        <f>SUM(J7:J18)</f>
        <v>1.1520000000000004E-11</v>
      </c>
      <c r="K19" s="464"/>
      <c r="L19" s="464"/>
      <c r="M19" s="464"/>
      <c r="N19" s="464"/>
      <c r="O19" s="464"/>
    </row>
    <row r="20" spans="1:15" x14ac:dyDescent="0.25">
      <c r="A20" s="7"/>
      <c r="B20" s="7"/>
      <c r="D20" s="644" t="s">
        <v>12</v>
      </c>
      <c r="E20" s="644"/>
      <c r="F20" s="644"/>
      <c r="G20" s="14">
        <f>IF(ISERROR(INT(G19^4/J19)), " ", INT(G19^4/J19))</f>
        <v>200</v>
      </c>
      <c r="H20" s="21"/>
      <c r="I20" s="6"/>
      <c r="J20" s="6"/>
      <c r="K20" s="464"/>
      <c r="L20" s="464"/>
      <c r="M20" s="464"/>
      <c r="N20" s="464"/>
      <c r="O20" s="464"/>
    </row>
    <row r="21" spans="1:15" x14ac:dyDescent="0.25">
      <c r="A21" s="29"/>
      <c r="B21" s="7"/>
      <c r="D21" s="764" t="s">
        <v>538</v>
      </c>
      <c r="E21" s="765"/>
      <c r="F21" s="256">
        <f>'R &amp; R Between Techs'!F21</f>
        <v>0.95450000000000002</v>
      </c>
      <c r="G21" s="250">
        <f>IF(ISERROR(TINV((1-F21),G20)), " ", TINV((1-F21),G20))</f>
        <v>2.0125794050712815</v>
      </c>
      <c r="H21" s="25"/>
      <c r="I21" s="6"/>
      <c r="J21" s="6"/>
    </row>
    <row r="22" spans="1:15" x14ac:dyDescent="0.25">
      <c r="A22" s="7"/>
      <c r="B22" s="7"/>
      <c r="D22" s="692" t="s">
        <v>77</v>
      </c>
      <c r="E22" s="692"/>
      <c r="F22" s="692"/>
      <c r="G22" s="28">
        <f>IF(ISERROR(G19*G21), " ", G19*G21)</f>
        <v>1.3943559135400817E-2</v>
      </c>
      <c r="H22" s="30" t="e">
        <f>G22/(MAX(B25:B25))</f>
        <v>#DIV/0!</v>
      </c>
    </row>
    <row r="23" spans="1:15" x14ac:dyDescent="0.25">
      <c r="A23" s="677" t="s">
        <v>150</v>
      </c>
      <c r="B23" s="678"/>
      <c r="C23" s="678"/>
      <c r="D23" s="678"/>
      <c r="E23" s="678"/>
      <c r="F23" s="678"/>
      <c r="G23" s="678"/>
      <c r="H23" s="678"/>
      <c r="I23" s="678"/>
      <c r="J23" s="678"/>
      <c r="K23" s="678"/>
      <c r="L23" s="679"/>
    </row>
    <row r="24" spans="1:15" x14ac:dyDescent="0.25">
      <c r="A24" s="4">
        <v>11</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5" x14ac:dyDescent="0.25">
      <c r="A25" s="11" t="s">
        <v>44</v>
      </c>
      <c r="B25" s="460">
        <f>'Uncertainty Worksheet'!B79</f>
        <v>0</v>
      </c>
      <c r="C25" s="460" t="str">
        <f>'Uncertainty Worksheet'!C79</f>
        <v/>
      </c>
      <c r="D25" s="460" t="str">
        <f>'Uncertainty Worksheet'!D79</f>
        <v/>
      </c>
      <c r="E25" s="460" t="str">
        <f>'Uncertainty Worksheet'!E79</f>
        <v/>
      </c>
      <c r="F25" s="460" t="str">
        <f>'Uncertainty Worksheet'!F79</f>
        <v/>
      </c>
      <c r="G25" s="460" t="str">
        <f>'Uncertainty Worksheet'!G79</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5" x14ac:dyDescent="0.25">
      <c r="C26" t="str">
        <f>IF(ISERROR(STDEV(I25:I25)), " ", STDEV(I25:I25))</f>
        <v xml:space="preserve"> </v>
      </c>
      <c r="D26" s="761" t="s">
        <v>45</v>
      </c>
      <c r="E26" s="762"/>
      <c r="F26" s="763"/>
      <c r="G26" s="454" t="e">
        <f>SQRT((SUMSQ(I25:I25)/COUNT(I25:I25)))</f>
        <v>#DIV/0!</v>
      </c>
      <c r="I26" s="232"/>
      <c r="J26" s="343" t="str">
        <f>IF(ISERROR(STDEV(J25:J25)), " ", STDEV(J25:J25))</f>
        <v xml:space="preserve"> </v>
      </c>
      <c r="K26" s="343" t="str">
        <f>IF(ISERROR(STDEV(K25:K25)), " ", STDEV(K25:K25))</f>
        <v xml:space="preserve"> </v>
      </c>
    </row>
    <row r="28" spans="1:15" x14ac:dyDescent="0.25">
      <c r="D28" s="232"/>
    </row>
    <row r="29" spans="1:15" x14ac:dyDescent="0.25">
      <c r="A29" s="58" t="s">
        <v>118</v>
      </c>
    </row>
    <row r="30" spans="1:15" x14ac:dyDescent="0.25">
      <c r="A30" s="7"/>
      <c r="B30" s="7"/>
    </row>
    <row r="31" spans="1:15" x14ac:dyDescent="0.25">
      <c r="A31" s="7"/>
      <c r="B31" s="7"/>
    </row>
    <row r="32" spans="1:15"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13" priority="1" operator="greaterThan">
      <formula>999</formula>
    </cfRule>
    <cfRule type="cellIs" dxfId="12" priority="2" operator="greaterThan">
      <formula>1000</formula>
    </cfRule>
    <cfRule type="cellIs" dxfId="1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E00-000000000000}">
      <formula1>$K$1:$K$12</formula1>
    </dataValidation>
    <dataValidation type="list" allowBlank="1" showInputMessage="1" showErrorMessage="1" promptTitle="Select Confidence Interval" prompt="Select Confidence Interval. Default is 95.45%" sqref="F21" xr:uid="{C141CEEF-99AF-4B0E-A788-EE7065B46AE9}">
      <formula1>$N$1:$N$5</formula1>
    </dataValidation>
  </dataValidations>
  <pageMargins left="0.7" right="0.7" top="0.75" bottom="0.75" header="0.3" footer="0.3"/>
  <pageSetup scale="64" fitToHeight="0" orientation="landscape" r:id="rId1"/>
  <ignoredErrors>
    <ignoredError sqref="F21 B5 D3 A11:D17 A18 C18:D18 A10 C10:D10 B25:J25" unlockedFormula="1"/>
    <ignoredError sqref="B7:B8 G26" evalError="1"/>
    <ignoredError sqref="B18 B10 K25:L25" evalError="1" unlockedFormula="1"/>
    <ignoredError sqref="E17:F17"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pageSetUpPr fitToPage="1"/>
  </sheetPr>
  <dimension ref="A1:Q33"/>
  <sheetViews>
    <sheetView zoomScale="120" zoomScaleNormal="120" workbookViewId="0">
      <selection activeCell="A20" sqref="A20"/>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55" t="s">
        <v>23</v>
      </c>
      <c r="B1" s="755"/>
      <c r="C1" s="755"/>
      <c r="D1" s="755"/>
      <c r="E1" s="755"/>
      <c r="F1" s="755"/>
      <c r="G1" s="755"/>
      <c r="H1" s="755"/>
      <c r="I1" s="755"/>
      <c r="J1" s="755"/>
      <c r="K1" s="335" t="s">
        <v>549</v>
      </c>
      <c r="L1" s="336">
        <v>1</v>
      </c>
      <c r="M1" s="470"/>
      <c r="N1" s="471">
        <v>0.68269999999999997</v>
      </c>
      <c r="O1" s="470"/>
      <c r="P1" s="470"/>
      <c r="Q1" s="470"/>
    </row>
    <row r="2" spans="1:17" x14ac:dyDescent="0.25">
      <c r="A2" s="1" t="s">
        <v>24</v>
      </c>
      <c r="B2" s="624" t="s">
        <v>48</v>
      </c>
      <c r="C2" s="624"/>
      <c r="D2" s="624"/>
      <c r="E2" s="624"/>
      <c r="F2" s="624"/>
      <c r="G2" s="624"/>
      <c r="H2" s="624"/>
      <c r="I2" s="624"/>
      <c r="J2" s="624"/>
      <c r="K2" s="335" t="s">
        <v>550</v>
      </c>
      <c r="L2" s="336">
        <v>1.96</v>
      </c>
      <c r="M2" s="470"/>
      <c r="N2" s="472">
        <v>0.95</v>
      </c>
      <c r="O2" s="470"/>
      <c r="P2" s="470"/>
      <c r="Q2" s="470"/>
    </row>
    <row r="3" spans="1:17"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c r="Q3" s="470"/>
    </row>
    <row r="4" spans="1:17" x14ac:dyDescent="0.25">
      <c r="A4" s="1" t="s">
        <v>28</v>
      </c>
      <c r="B4" s="3" t="s">
        <v>49</v>
      </c>
      <c r="C4" s="691" t="s">
        <v>30</v>
      </c>
      <c r="D4" s="757"/>
      <c r="E4" s="757"/>
      <c r="F4" s="757"/>
      <c r="G4" s="757"/>
      <c r="H4" s="757"/>
      <c r="I4" s="757"/>
      <c r="J4" s="757"/>
      <c r="K4" s="335" t="s">
        <v>552</v>
      </c>
      <c r="L4" s="335">
        <v>2.5779999999999998</v>
      </c>
      <c r="M4" s="470"/>
      <c r="N4" s="472">
        <v>0.99</v>
      </c>
      <c r="O4" s="470"/>
      <c r="P4" s="470"/>
      <c r="Q4" s="470"/>
    </row>
    <row r="5" spans="1:17" x14ac:dyDescent="0.25">
      <c r="A5" s="1" t="s">
        <v>29</v>
      </c>
      <c r="B5" s="32">
        <f>'Uncertainty Worksheet'!B51</f>
        <v>0</v>
      </c>
      <c r="C5" s="691"/>
      <c r="D5" s="757"/>
      <c r="E5" s="757"/>
      <c r="F5" s="757"/>
      <c r="G5" s="757"/>
      <c r="H5" s="757"/>
      <c r="I5" s="757"/>
      <c r="J5" s="757"/>
      <c r="K5" s="335" t="s">
        <v>553</v>
      </c>
      <c r="L5" s="336">
        <v>3</v>
      </c>
      <c r="M5" s="470"/>
      <c r="N5" s="471">
        <v>0.99729999999999996</v>
      </c>
      <c r="O5" s="470"/>
      <c r="P5" s="470"/>
      <c r="Q5" s="470"/>
    </row>
    <row r="6" spans="1:17" ht="45" x14ac:dyDescent="0.25">
      <c r="A6" s="1" t="s">
        <v>22</v>
      </c>
      <c r="B6" s="1" t="s">
        <v>0</v>
      </c>
      <c r="C6" s="1" t="s">
        <v>1</v>
      </c>
      <c r="D6" s="1" t="s">
        <v>2</v>
      </c>
      <c r="E6" s="1" t="s">
        <v>3</v>
      </c>
      <c r="F6" s="1" t="s">
        <v>4</v>
      </c>
      <c r="G6" s="1" t="s">
        <v>5</v>
      </c>
      <c r="H6" s="1" t="s">
        <v>32</v>
      </c>
      <c r="I6" s="2" t="s">
        <v>6</v>
      </c>
      <c r="J6" s="1" t="s">
        <v>31</v>
      </c>
      <c r="K6" s="335" t="s">
        <v>18</v>
      </c>
      <c r="L6" s="335">
        <v>0</v>
      </c>
      <c r="M6" s="470"/>
      <c r="N6" s="470"/>
      <c r="O6" s="470"/>
      <c r="P6" s="470"/>
      <c r="Q6" s="470"/>
    </row>
    <row r="7" spans="1:17" x14ac:dyDescent="0.25">
      <c r="A7" s="1" t="str">
        <f>'R &amp; R Between Techs'!A7</f>
        <v>Repeatability Between Techs</v>
      </c>
      <c r="B7" s="1" t="str">
        <f>'R &amp; R Between Techs'!B7</f>
        <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c r="P7" s="470"/>
      <c r="Q7" s="470"/>
    </row>
    <row r="8" spans="1:17" x14ac:dyDescent="0.25">
      <c r="A8" s="62" t="str">
        <f>'R &amp; R Between Techs'!A8</f>
        <v>Reproducibility Between Techs</v>
      </c>
      <c r="B8" s="62" t="str">
        <f>'R &amp; R Between Techs'!B8</f>
        <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c r="P8" s="470"/>
      <c r="Q8" s="470"/>
    </row>
    <row r="9" spans="1:17" x14ac:dyDescent="0.25">
      <c r="A9" s="76"/>
      <c r="B9" s="77"/>
      <c r="C9" s="78"/>
      <c r="D9" s="79"/>
      <c r="E9" s="80"/>
      <c r="F9" s="61"/>
      <c r="G9" s="81"/>
      <c r="H9" s="81"/>
      <c r="I9" s="82"/>
      <c r="J9" s="83"/>
      <c r="K9" s="335" t="s">
        <v>8</v>
      </c>
      <c r="L9" s="336">
        <v>1</v>
      </c>
      <c r="M9" s="470"/>
      <c r="N9" s="470"/>
      <c r="O9" s="470"/>
      <c r="P9" s="470"/>
      <c r="Q9" s="470"/>
    </row>
    <row r="10" spans="1:17"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c r="Q10" s="470"/>
    </row>
    <row r="11" spans="1:17" x14ac:dyDescent="0.25">
      <c r="A11" s="13" t="str">
        <f>'Uncertainty Worksheet'!A55</f>
        <v>ASTM E74 LLF</v>
      </c>
      <c r="B11" s="18">
        <f>IF(A11="ASTM E74 LLF",'Uncertainty Worksheet'!B55,
   IF(A11="ISO 376 Uncertainty",'Uncertainty Worksheet'!X30,
   IF(A11="ISO 376 % or % Per Point",'Uncertainty Worksheet'!M26,0)))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c r="P11" s="470"/>
      <c r="Q11" s="470"/>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c r="Q12" s="470"/>
    </row>
    <row r="13" spans="1:17" x14ac:dyDescent="0.25">
      <c r="A13" s="13" t="str">
        <f>'Uncertainty Worksheet'!A57</f>
        <v>Environmental Conditions</v>
      </c>
      <c r="B13" s="18">
        <f>'Uncertainty Worksheet'!T18</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c r="Q13" s="470"/>
    </row>
    <row r="14" spans="1:17" x14ac:dyDescent="0.25">
      <c r="A14" s="13" t="str">
        <f>'Uncertainty Worksheet'!A58</f>
        <v>Stability of  Ref Standard</v>
      </c>
      <c r="B14" s="18" t="str">
        <f>'Uncertainty Worksheet'!Q18</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c r="Q14" s="470"/>
    </row>
    <row r="15" spans="1:17"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c r="P15" s="470"/>
      <c r="Q15" s="470"/>
    </row>
    <row r="16" spans="1:17" ht="30" x14ac:dyDescent="0.25">
      <c r="A16" s="13" t="str">
        <f>'Uncertainty Worksheet'!A60</f>
        <v>Non ASTM or ISO 376 (Tolerance,Non-Linearity,SEB)</v>
      </c>
      <c r="B16" s="18" t="str">
        <f>'Uncertainty Worksheet'!R95</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70"/>
      <c r="L16" s="470"/>
      <c r="M16" s="470"/>
      <c r="N16" s="470"/>
      <c r="O16" s="470"/>
      <c r="P16" s="470"/>
      <c r="Q16" s="470"/>
    </row>
    <row r="17" spans="1:17" x14ac:dyDescent="0.25">
      <c r="A17" s="13" t="str">
        <f>'Uncertainty Worksheet'!A61</f>
        <v>Miscellaneous Error</v>
      </c>
      <c r="B17" s="18" t="str">
        <f>IF('Uncertainty Worksheet'!B61=0, "",'Uncertainty Worksheet'!R61)</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c r="K17" s="470"/>
      <c r="L17" s="470"/>
      <c r="M17" s="470"/>
      <c r="N17" s="470"/>
      <c r="O17" s="470"/>
      <c r="P17" s="470"/>
      <c r="Q17" s="470"/>
    </row>
    <row r="18" spans="1:17"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c r="K18" s="470"/>
      <c r="L18" s="470"/>
      <c r="M18" s="470"/>
      <c r="N18" s="470"/>
      <c r="O18" s="470"/>
      <c r="P18" s="470"/>
      <c r="Q18" s="470"/>
    </row>
    <row r="19" spans="1:17" ht="18" x14ac:dyDescent="0.35">
      <c r="A19" s="7"/>
      <c r="B19" s="7"/>
      <c r="D19" s="706" t="s">
        <v>52</v>
      </c>
      <c r="E19" s="619"/>
      <c r="F19" s="620"/>
      <c r="G19" s="20">
        <f>SQRT(H19)</f>
        <v>6.9282032302755096E-3</v>
      </c>
      <c r="H19" s="21">
        <f>SUM(H7:H18)</f>
        <v>4.8000000000000008E-5</v>
      </c>
      <c r="I19" s="17">
        <f>SUM(I7:I18)</f>
        <v>1</v>
      </c>
      <c r="J19" s="16">
        <f>SUM(J7:J18)</f>
        <v>1.1520000000000004E-11</v>
      </c>
      <c r="K19" s="470"/>
      <c r="L19" s="470"/>
      <c r="M19" s="470"/>
      <c r="N19" s="470"/>
      <c r="O19" s="470"/>
      <c r="P19" s="470"/>
      <c r="Q19" s="470"/>
    </row>
    <row r="20" spans="1:17" x14ac:dyDescent="0.25">
      <c r="A20" s="7"/>
      <c r="B20" s="7"/>
      <c r="D20" s="644" t="s">
        <v>12</v>
      </c>
      <c r="E20" s="644"/>
      <c r="F20" s="644"/>
      <c r="G20" s="14">
        <f>IF(ISERROR(INT(G19^4/J19)), " ", INT(G19^4/J19))</f>
        <v>200</v>
      </c>
      <c r="H20" s="21"/>
      <c r="I20" s="6"/>
      <c r="J20" s="6"/>
    </row>
    <row r="21" spans="1:17" x14ac:dyDescent="0.25">
      <c r="A21" s="29"/>
      <c r="B21" s="7"/>
      <c r="D21" s="764" t="s">
        <v>538</v>
      </c>
      <c r="E21" s="765"/>
      <c r="F21" s="256">
        <f>'R &amp; R Between Techs'!F21</f>
        <v>0.95450000000000002</v>
      </c>
      <c r="G21" s="250">
        <f>IF(ISERROR(TINV((1-F21),G20)), " ", TINV((1-F21),G20))</f>
        <v>2.0125794050712815</v>
      </c>
      <c r="H21" s="25"/>
      <c r="I21" s="6"/>
      <c r="J21" s="6"/>
    </row>
    <row r="22" spans="1:17" x14ac:dyDescent="0.25">
      <c r="A22" s="7"/>
      <c r="B22" s="7"/>
      <c r="D22" s="692" t="s">
        <v>77</v>
      </c>
      <c r="E22" s="692"/>
      <c r="F22" s="692"/>
      <c r="G22" s="28">
        <f>IF(ISERROR(G19*G21), " ", G19*G21)</f>
        <v>1.3943559135400817E-2</v>
      </c>
      <c r="H22" s="30" t="e">
        <f>G22/(MAX(B25:B25))</f>
        <v>#DIV/0!</v>
      </c>
    </row>
    <row r="23" spans="1:17" x14ac:dyDescent="0.25">
      <c r="A23" s="677" t="s">
        <v>150</v>
      </c>
      <c r="B23" s="678"/>
      <c r="C23" s="678"/>
      <c r="D23" s="678"/>
      <c r="E23" s="678"/>
      <c r="F23" s="678"/>
      <c r="G23" s="678"/>
      <c r="H23" s="678"/>
      <c r="I23" s="678"/>
      <c r="J23" s="678"/>
      <c r="K23" s="678"/>
      <c r="L23" s="679"/>
    </row>
    <row r="24" spans="1:17" x14ac:dyDescent="0.25">
      <c r="A24" s="4">
        <v>12</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7" x14ac:dyDescent="0.25">
      <c r="A25" s="11" t="s">
        <v>44</v>
      </c>
      <c r="B25" s="33">
        <f>'Uncertainty Worksheet'!B80</f>
        <v>0</v>
      </c>
      <c r="C25" s="33" t="str">
        <f>'Uncertainty Worksheet'!C80</f>
        <v/>
      </c>
      <c r="D25" s="33" t="str">
        <f>'Uncertainty Worksheet'!D80</f>
        <v/>
      </c>
      <c r="E25" s="33" t="str">
        <f>'Uncertainty Worksheet'!E80</f>
        <v/>
      </c>
      <c r="F25" s="33" t="str">
        <f>'Uncertainty Worksheet'!F80</f>
        <v/>
      </c>
      <c r="G25" s="33" t="str">
        <f>'Uncertainty Worksheet'!G80</f>
        <v/>
      </c>
      <c r="H25" s="23" t="str">
        <f>IF(ISERROR(AVERAGE(C25:F25)), " ", AVERAGE(C25:F25))</f>
        <v xml:space="preserve"> </v>
      </c>
      <c r="I25" s="36" t="str">
        <f>IF(ISERROR(STDEV(C25:F25)), " ", STDEV(C25:F25))</f>
        <v xml:space="preserve"> </v>
      </c>
      <c r="J25" s="40" t="str">
        <f>'Uncertainty Worksheet'!R68</f>
        <v/>
      </c>
      <c r="K25" s="41" t="e">
        <f>B25*J25</f>
        <v>#VALUE!</v>
      </c>
      <c r="L25" s="41" t="e">
        <f>B25*J25</f>
        <v>#VALUE!</v>
      </c>
    </row>
    <row r="26" spans="1:17" x14ac:dyDescent="0.25">
      <c r="C26" t="str">
        <f>IF(ISERROR(STDEV(I25:I25)), " ", STDEV(I25:I25))</f>
        <v xml:space="preserve"> </v>
      </c>
      <c r="D26" s="252" t="s">
        <v>45</v>
      </c>
      <c r="E26" s="456"/>
      <c r="F26" s="457"/>
      <c r="G26" s="454" t="e">
        <f>SQRT((SUMSQ(I25:I25)/COUNT(I25:I25)))</f>
        <v>#DIV/0!</v>
      </c>
      <c r="H26" s="465"/>
      <c r="I26" s="232"/>
      <c r="J26" s="343" t="str">
        <f>IF(ISERROR(STDEV(J25:J25)), " ", STDEV(J25:J25))</f>
        <v xml:space="preserve"> </v>
      </c>
      <c r="K26" s="343" t="str">
        <f>IF(ISERROR(STDEV(K25:K25)), " ", STDEV(K25:K25))</f>
        <v xml:space="preserve"> </v>
      </c>
    </row>
    <row r="29" spans="1:17" x14ac:dyDescent="0.25">
      <c r="A29" s="58" t="s">
        <v>120</v>
      </c>
    </row>
    <row r="30" spans="1:17" x14ac:dyDescent="0.25">
      <c r="A30" s="7"/>
      <c r="B30" s="7"/>
    </row>
    <row r="31" spans="1:17" x14ac:dyDescent="0.25">
      <c r="A31" s="7"/>
      <c r="B31" s="7"/>
    </row>
    <row r="32" spans="1:17" x14ac:dyDescent="0.25">
      <c r="A32" s="7"/>
      <c r="B32" s="7"/>
    </row>
    <row r="33" spans="1:2" x14ac:dyDescent="0.25">
      <c r="A33" s="7"/>
      <c r="B33" s="7"/>
    </row>
  </sheetData>
  <sheetProtection sheet="1" objects="1" scenarios="1"/>
  <mergeCells count="10">
    <mergeCell ref="A1:J1"/>
    <mergeCell ref="B2:J2"/>
    <mergeCell ref="F3:J3"/>
    <mergeCell ref="C4:C5"/>
    <mergeCell ref="D4:J5"/>
    <mergeCell ref="D20:F20"/>
    <mergeCell ref="D22:F22"/>
    <mergeCell ref="D21:E21"/>
    <mergeCell ref="A23:L23"/>
    <mergeCell ref="D19:F19"/>
  </mergeCells>
  <conditionalFormatting sqref="F10">
    <cfRule type="cellIs" dxfId="10" priority="1" operator="greaterThan">
      <formula>999</formula>
    </cfRule>
    <cfRule type="cellIs" dxfId="9" priority="2" operator="greaterThan">
      <formula>1000</formula>
    </cfRule>
    <cfRule type="cellIs" dxfId="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F00-000000000000}">
      <formula1>$K$1:$K$12</formula1>
    </dataValidation>
    <dataValidation type="list" allowBlank="1" showInputMessage="1" showErrorMessage="1" promptTitle="Select Confidence Interval" prompt="Select Confidence Interval. Default is 95.45%" sqref="F21" xr:uid="{7BA33C3E-8EF2-4DA5-915E-4F2756FF72D2}">
      <formula1>$N$1:$N$5</formula1>
    </dataValidation>
  </dataValidations>
  <pageMargins left="0.7" right="0.7" top="0.75" bottom="0.75" header="0.3" footer="0.3"/>
  <pageSetup scale="64" fitToHeight="0" orientation="landscape" r:id="rId1"/>
  <ignoredErrors>
    <ignoredError sqref="B25 C25:G25 F21 B11:F16 D7:D8 C18:F18 B5 D3 A10:A18 C10:F10 B17:D17 F17" unlockedFormula="1"/>
    <ignoredError sqref="B10 B18" evalError="1" unlockedFormula="1"/>
    <ignoredError sqref="E17" formula="1" unlockedFormula="1"/>
    <ignoredError sqref="G26 K25:L25" evalError="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5DC22-E2D0-4C2B-85AC-FD9500918FC5}">
  <sheetPr>
    <tabColor theme="7" tint="0.79998168889431442"/>
  </sheetPr>
  <dimension ref="A1:R38"/>
  <sheetViews>
    <sheetView topLeftCell="C1" zoomScaleNormal="100" workbookViewId="0">
      <selection activeCell="C1" sqref="C1:I1"/>
    </sheetView>
  </sheetViews>
  <sheetFormatPr defaultRowHeight="15" x14ac:dyDescent="0.25"/>
  <cols>
    <col min="1" max="1" width="11.28515625" bestFit="1" customWidth="1"/>
    <col min="2" max="2" width="55.28515625" bestFit="1" customWidth="1"/>
    <col min="3" max="3" width="36.42578125" bestFit="1" customWidth="1"/>
    <col min="4" max="4" width="31.28515625" bestFit="1" customWidth="1"/>
    <col min="5" max="5" width="9.28515625" bestFit="1" customWidth="1"/>
    <col min="6" max="6" width="14.140625" customWidth="1"/>
    <col min="7" max="7" width="10.5703125" customWidth="1"/>
    <col min="8" max="8" width="10.5703125" bestFit="1" customWidth="1"/>
    <col min="9" max="9" width="10.28515625" bestFit="1" customWidth="1"/>
    <col min="10" max="10" width="10.5703125" bestFit="1" customWidth="1"/>
    <col min="11" max="11" width="10.5703125" customWidth="1"/>
    <col min="12" max="12" width="13.42578125" bestFit="1" customWidth="1"/>
    <col min="13" max="14" width="10.5703125" customWidth="1"/>
    <col min="15" max="16" width="15.28515625" bestFit="1" customWidth="1"/>
    <col min="17" max="17" width="14.140625" bestFit="1" customWidth="1"/>
    <col min="18" max="18" width="12.28515625" customWidth="1"/>
    <col min="21" max="21" width="22" bestFit="1" customWidth="1"/>
  </cols>
  <sheetData>
    <row r="1" spans="1:18" ht="51.75" customHeight="1" x14ac:dyDescent="0.5">
      <c r="B1" s="34"/>
      <c r="C1" s="592" t="s">
        <v>265</v>
      </c>
      <c r="D1" s="592"/>
      <c r="E1" s="592"/>
      <c r="F1" s="592"/>
      <c r="G1" s="592"/>
      <c r="H1" s="592"/>
      <c r="I1" s="592"/>
      <c r="J1" s="207"/>
      <c r="K1" s="207"/>
      <c r="L1" s="204"/>
      <c r="M1" s="204"/>
      <c r="N1" s="204"/>
      <c r="O1" s="204"/>
      <c r="P1" s="204"/>
      <c r="Q1" s="204"/>
      <c r="R1" s="205"/>
    </row>
    <row r="2" spans="1:18" x14ac:dyDescent="0.25">
      <c r="A2" s="590"/>
      <c r="B2" s="590"/>
      <c r="C2" s="590"/>
      <c r="D2" s="590"/>
      <c r="E2" s="590"/>
      <c r="F2" s="590"/>
      <c r="G2" s="590"/>
      <c r="H2" s="590"/>
      <c r="I2" s="590"/>
      <c r="J2" s="590"/>
      <c r="K2" s="590"/>
      <c r="L2" s="590"/>
      <c r="M2" s="590"/>
      <c r="N2" s="590"/>
      <c r="O2" s="590"/>
      <c r="P2" s="590"/>
      <c r="Q2" s="590"/>
      <c r="R2" s="591"/>
    </row>
    <row r="3" spans="1:18" x14ac:dyDescent="0.25">
      <c r="A3" s="34"/>
      <c r="B3" s="34"/>
      <c r="C3" s="34"/>
      <c r="D3" s="34"/>
      <c r="E3" s="34"/>
      <c r="F3" s="34"/>
      <c r="G3" s="34"/>
      <c r="H3" s="34"/>
      <c r="I3" s="34"/>
      <c r="J3" s="34"/>
      <c r="K3" s="34"/>
      <c r="L3" s="34"/>
      <c r="M3" s="34"/>
      <c r="N3" s="34"/>
      <c r="O3" s="34"/>
      <c r="P3" s="34"/>
      <c r="Q3" s="34"/>
      <c r="R3" s="34"/>
    </row>
    <row r="4" spans="1:18" x14ac:dyDescent="0.25">
      <c r="A4" s="34" t="s">
        <v>268</v>
      </c>
      <c r="B4" s="206" t="s">
        <v>267</v>
      </c>
      <c r="C4" s="39">
        <v>10000</v>
      </c>
      <c r="D4" s="34"/>
      <c r="E4" s="34"/>
      <c r="F4" s="34"/>
      <c r="G4" s="34"/>
      <c r="H4" s="34"/>
      <c r="I4" s="34"/>
      <c r="J4" s="34"/>
      <c r="K4" s="34"/>
      <c r="L4" s="34"/>
      <c r="M4" s="34"/>
      <c r="N4" s="34"/>
      <c r="O4" s="34"/>
      <c r="P4" s="34"/>
      <c r="Q4" s="34"/>
      <c r="R4" s="34"/>
    </row>
    <row r="5" spans="1:18" x14ac:dyDescent="0.25">
      <c r="A5" s="34" t="s">
        <v>269</v>
      </c>
      <c r="B5" s="206" t="s">
        <v>271</v>
      </c>
      <c r="C5" s="39">
        <v>4.0123540000000002</v>
      </c>
      <c r="D5" s="34"/>
      <c r="E5" s="34"/>
      <c r="F5" s="34"/>
      <c r="G5" s="34"/>
      <c r="H5" s="34"/>
      <c r="I5" s="34"/>
      <c r="J5" s="34"/>
      <c r="K5" s="34"/>
      <c r="L5" s="586"/>
      <c r="M5" s="34"/>
      <c r="N5" s="34"/>
      <c r="O5" s="34"/>
      <c r="P5" s="34"/>
      <c r="Q5" s="34"/>
      <c r="R5" s="34"/>
    </row>
    <row r="6" spans="1:18" x14ac:dyDescent="0.25">
      <c r="A6" s="34"/>
      <c r="B6" s="23" t="s">
        <v>11</v>
      </c>
      <c r="C6" s="23">
        <f>C4/C5</f>
        <v>2492.3025236556891</v>
      </c>
      <c r="D6" s="34"/>
      <c r="E6" s="34"/>
      <c r="F6" s="579"/>
      <c r="G6" s="34"/>
      <c r="H6" s="34"/>
      <c r="I6" s="34"/>
      <c r="J6" s="34"/>
      <c r="K6" s="586"/>
      <c r="L6" s="34"/>
      <c r="M6" s="34"/>
      <c r="N6" s="34"/>
      <c r="O6" s="34"/>
      <c r="P6" s="34"/>
      <c r="Q6" s="34"/>
      <c r="R6" s="34"/>
    </row>
    <row r="7" spans="1:18" x14ac:dyDescent="0.25">
      <c r="A7" s="34" t="s">
        <v>270</v>
      </c>
      <c r="B7" s="206" t="s">
        <v>266</v>
      </c>
      <c r="C7" s="39">
        <v>1.0000000000000001E-5</v>
      </c>
      <c r="D7" s="34"/>
      <c r="E7" s="34"/>
      <c r="F7" s="34"/>
      <c r="G7" s="34"/>
      <c r="H7" s="34"/>
      <c r="I7" s="34"/>
      <c r="J7" s="34"/>
      <c r="K7" s="586"/>
      <c r="L7" s="34"/>
      <c r="M7" s="34"/>
      <c r="N7" s="34"/>
      <c r="O7" s="34"/>
      <c r="P7" s="34"/>
      <c r="Q7" s="34"/>
      <c r="R7" s="34"/>
    </row>
    <row r="8" spans="1:18" x14ac:dyDescent="0.25">
      <c r="A8" s="34" t="s">
        <v>283</v>
      </c>
      <c r="B8" s="206" t="s">
        <v>284</v>
      </c>
      <c r="C8" s="39">
        <v>1</v>
      </c>
      <c r="D8" s="34"/>
      <c r="E8" s="34"/>
      <c r="F8" s="34"/>
      <c r="G8" s="34"/>
      <c r="H8" s="34"/>
      <c r="I8" s="579"/>
      <c r="J8" s="34"/>
      <c r="K8" s="586"/>
      <c r="L8" s="34"/>
      <c r="M8" s="34"/>
      <c r="N8" s="34"/>
      <c r="O8" s="34"/>
      <c r="P8" s="34"/>
      <c r="Q8" s="34"/>
      <c r="R8" s="34"/>
    </row>
    <row r="9" spans="1:18" x14ac:dyDescent="0.25">
      <c r="A9" s="34"/>
      <c r="B9" s="23" t="s">
        <v>171</v>
      </c>
      <c r="C9" s="23">
        <f>(C6*C7)*C8</f>
        <v>2.4923025236556894E-2</v>
      </c>
      <c r="D9" s="34"/>
      <c r="E9" s="580"/>
      <c r="F9" s="34"/>
      <c r="G9" s="578"/>
      <c r="H9" s="34"/>
      <c r="I9" s="34"/>
      <c r="J9" s="34"/>
      <c r="K9" s="586"/>
      <c r="L9" s="34"/>
      <c r="M9" s="34"/>
      <c r="N9" s="34"/>
      <c r="O9" s="34"/>
      <c r="P9" s="34"/>
      <c r="Q9" s="34"/>
      <c r="R9" s="34"/>
    </row>
    <row r="10" spans="1:18" x14ac:dyDescent="0.25">
      <c r="A10" s="34"/>
      <c r="B10" s="34"/>
      <c r="C10" s="34"/>
      <c r="D10" s="34"/>
      <c r="E10" s="34"/>
      <c r="F10" s="34"/>
      <c r="G10" s="34"/>
      <c r="H10" s="34"/>
      <c r="I10" s="34"/>
      <c r="J10" s="34"/>
      <c r="K10" s="586"/>
      <c r="L10" s="34"/>
      <c r="M10" s="34"/>
      <c r="N10" s="34"/>
      <c r="O10" s="34"/>
      <c r="P10" s="34"/>
      <c r="Q10" s="34"/>
      <c r="R10" s="34"/>
    </row>
    <row r="11" spans="1:18" x14ac:dyDescent="0.25">
      <c r="A11" s="34"/>
      <c r="B11" s="34"/>
      <c r="C11" s="34"/>
      <c r="D11" s="34"/>
      <c r="E11" s="582"/>
      <c r="F11" s="583"/>
      <c r="G11" s="34"/>
      <c r="H11" s="34"/>
      <c r="I11" s="34"/>
      <c r="J11" s="587"/>
      <c r="K11" s="587"/>
      <c r="L11" s="34"/>
      <c r="M11" s="34"/>
      <c r="N11" s="34"/>
      <c r="O11" s="34"/>
      <c r="P11" s="34"/>
      <c r="Q11" s="34"/>
      <c r="R11" s="34"/>
    </row>
    <row r="12" spans="1:18" x14ac:dyDescent="0.25">
      <c r="A12" s="34"/>
      <c r="B12" s="34"/>
      <c r="C12" s="34"/>
      <c r="D12" s="34"/>
      <c r="E12" s="584"/>
      <c r="F12" s="585"/>
      <c r="G12" s="34"/>
      <c r="H12" s="34"/>
      <c r="I12" s="34"/>
      <c r="J12" s="34"/>
      <c r="K12" s="34"/>
      <c r="L12" s="34"/>
      <c r="M12" s="34"/>
      <c r="N12" s="34"/>
      <c r="O12" s="34"/>
      <c r="P12" s="34"/>
      <c r="Q12" s="34"/>
      <c r="R12" s="34"/>
    </row>
    <row r="13" spans="1:18" x14ac:dyDescent="0.25">
      <c r="A13" s="34"/>
      <c r="B13" s="208" t="s">
        <v>282</v>
      </c>
      <c r="C13" s="34"/>
      <c r="D13" s="34"/>
      <c r="E13" s="34"/>
      <c r="F13" s="34"/>
      <c r="G13" s="34"/>
      <c r="H13" s="34"/>
      <c r="I13" s="34"/>
      <c r="J13" s="34"/>
      <c r="K13" s="34"/>
      <c r="L13" s="34"/>
      <c r="M13" s="34"/>
      <c r="N13" s="34"/>
      <c r="O13" s="34"/>
      <c r="P13" s="34"/>
      <c r="Q13" s="34"/>
      <c r="R13" s="34"/>
    </row>
    <row r="14" spans="1:18" x14ac:dyDescent="0.25">
      <c r="A14" s="34"/>
      <c r="B14" s="34"/>
      <c r="C14" s="34"/>
      <c r="D14" s="34"/>
      <c r="E14" s="34"/>
      <c r="F14" s="581"/>
      <c r="G14" s="34"/>
      <c r="H14" s="34"/>
      <c r="I14" s="34"/>
      <c r="J14" s="34"/>
      <c r="K14" s="34"/>
      <c r="L14" s="34"/>
      <c r="M14" s="34"/>
      <c r="N14" s="34"/>
      <c r="O14" s="34"/>
      <c r="P14" s="34"/>
      <c r="Q14" s="34"/>
      <c r="R14" s="34"/>
    </row>
    <row r="15" spans="1:18" x14ac:dyDescent="0.25">
      <c r="A15" s="34"/>
      <c r="B15" s="209" t="s">
        <v>272</v>
      </c>
      <c r="C15" s="209" t="s">
        <v>273</v>
      </c>
      <c r="D15" s="210"/>
      <c r="E15" s="210"/>
      <c r="G15" s="34"/>
      <c r="H15" s="34"/>
      <c r="I15" s="34"/>
      <c r="J15" s="34"/>
      <c r="K15" s="34"/>
      <c r="L15" s="34"/>
      <c r="M15" s="34"/>
      <c r="N15" s="34"/>
      <c r="O15" s="34"/>
      <c r="P15" s="34"/>
      <c r="Q15" s="34"/>
      <c r="R15" s="34"/>
    </row>
    <row r="16" spans="1:18" x14ac:dyDescent="0.25">
      <c r="A16" s="34"/>
      <c r="B16" s="210"/>
      <c r="C16" s="210"/>
      <c r="D16" s="210"/>
      <c r="E16" s="210"/>
      <c r="G16" s="34"/>
      <c r="H16" s="34"/>
      <c r="I16" s="34"/>
      <c r="J16" s="34"/>
      <c r="K16" s="34"/>
      <c r="L16" s="34"/>
      <c r="M16" s="34"/>
      <c r="N16" s="34"/>
      <c r="O16" s="34"/>
      <c r="P16" s="34"/>
      <c r="Q16" s="34"/>
      <c r="R16" s="34"/>
    </row>
    <row r="17" spans="1:18" x14ac:dyDescent="0.25">
      <c r="B17" s="211" t="s">
        <v>62</v>
      </c>
      <c r="C17" s="211" t="s">
        <v>274</v>
      </c>
      <c r="D17" s="211" t="s">
        <v>275</v>
      </c>
      <c r="E17" s="211" t="s">
        <v>276</v>
      </c>
    </row>
    <row r="18" spans="1:18" x14ac:dyDescent="0.25">
      <c r="B18" s="213">
        <v>10000</v>
      </c>
      <c r="C18" s="214">
        <v>4.1123500000000002</v>
      </c>
      <c r="D18" s="214">
        <v>1.0000000000000001E-5</v>
      </c>
      <c r="E18" s="214">
        <v>1</v>
      </c>
    </row>
    <row r="19" spans="1:18" x14ac:dyDescent="0.25">
      <c r="B19" s="216" t="s">
        <v>277</v>
      </c>
      <c r="C19" s="217">
        <f>((B18/C18)*D18*E18)</f>
        <v>2.4316996364609048E-2</v>
      </c>
      <c r="D19" s="210"/>
      <c r="E19" s="210"/>
    </row>
    <row r="20" spans="1:18" x14ac:dyDescent="0.25">
      <c r="B20" s="212"/>
    </row>
    <row r="21" spans="1:18" x14ac:dyDescent="0.25">
      <c r="B21" s="212"/>
    </row>
    <row r="22" spans="1:18" x14ac:dyDescent="0.25">
      <c r="A22" s="34"/>
      <c r="B22" s="209" t="s">
        <v>278</v>
      </c>
      <c r="C22" s="209" t="s">
        <v>286</v>
      </c>
      <c r="D22" s="210"/>
      <c r="E22" s="210"/>
      <c r="G22" s="34"/>
      <c r="H22" s="34"/>
      <c r="I22" s="34"/>
      <c r="J22" s="34"/>
      <c r="K22" s="34"/>
      <c r="L22" s="34"/>
      <c r="M22" s="34"/>
      <c r="N22" s="34"/>
      <c r="O22" s="34"/>
      <c r="P22" s="34"/>
      <c r="Q22" s="34"/>
      <c r="R22" s="34"/>
    </row>
    <row r="23" spans="1:18" x14ac:dyDescent="0.25">
      <c r="A23" s="34"/>
      <c r="B23" s="210"/>
      <c r="C23" s="210"/>
      <c r="D23" s="210"/>
      <c r="E23" s="210"/>
      <c r="G23" s="34"/>
      <c r="H23" s="34"/>
      <c r="I23" s="34"/>
      <c r="J23" s="34"/>
      <c r="K23" s="34"/>
      <c r="L23" s="34"/>
      <c r="M23" s="34"/>
      <c r="N23" s="34"/>
      <c r="O23" s="34"/>
      <c r="P23" s="34"/>
      <c r="Q23" s="34"/>
      <c r="R23" s="34"/>
    </row>
    <row r="24" spans="1:18" x14ac:dyDescent="0.25">
      <c r="B24" s="211" t="s">
        <v>62</v>
      </c>
      <c r="C24" s="211" t="s">
        <v>274</v>
      </c>
      <c r="D24" s="211" t="s">
        <v>275</v>
      </c>
      <c r="E24" s="211" t="s">
        <v>276</v>
      </c>
    </row>
    <row r="25" spans="1:18" x14ac:dyDescent="0.25">
      <c r="B25" s="213">
        <v>10000</v>
      </c>
      <c r="C25" s="214">
        <v>9995.9</v>
      </c>
      <c r="D25" s="214">
        <v>0.1</v>
      </c>
      <c r="E25" s="214">
        <v>2</v>
      </c>
    </row>
    <row r="26" spans="1:18" x14ac:dyDescent="0.25">
      <c r="B26" s="216" t="s">
        <v>277</v>
      </c>
      <c r="C26" s="218">
        <f>((B25/C25)*D25*E25)</f>
        <v>0.20008203363378985</v>
      </c>
      <c r="D26" s="210"/>
      <c r="E26" s="210"/>
    </row>
    <row r="27" spans="1:18" x14ac:dyDescent="0.25">
      <c r="B27" s="212"/>
    </row>
    <row r="28" spans="1:18" ht="28.5" customHeight="1" x14ac:dyDescent="0.25">
      <c r="B28" s="589" t="s">
        <v>285</v>
      </c>
      <c r="C28" s="589"/>
      <c r="D28" s="589"/>
      <c r="E28" s="589"/>
    </row>
    <row r="29" spans="1:18" x14ac:dyDescent="0.25">
      <c r="B29" s="209" t="s">
        <v>279</v>
      </c>
      <c r="C29" s="209" t="s">
        <v>280</v>
      </c>
      <c r="D29" s="210"/>
      <c r="E29" s="210"/>
      <c r="F29" s="210"/>
    </row>
    <row r="30" spans="1:18" x14ac:dyDescent="0.25">
      <c r="B30" s="210"/>
      <c r="C30" s="210"/>
      <c r="D30" s="210"/>
      <c r="E30" s="210"/>
      <c r="F30" s="210"/>
    </row>
    <row r="31" spans="1:18" x14ac:dyDescent="0.25">
      <c r="B31" s="211" t="s">
        <v>62</v>
      </c>
      <c r="C31" s="211" t="s">
        <v>274</v>
      </c>
      <c r="D31" s="211" t="s">
        <v>275</v>
      </c>
      <c r="E31" s="211" t="s">
        <v>276</v>
      </c>
      <c r="F31" s="216" t="s">
        <v>11</v>
      </c>
    </row>
    <row r="32" spans="1:18" x14ac:dyDescent="0.25">
      <c r="B32" s="213">
        <v>2000</v>
      </c>
      <c r="C32" s="214">
        <v>0.82199</v>
      </c>
      <c r="D32" s="214">
        <v>1.0000000000000001E-5</v>
      </c>
      <c r="E32" s="215">
        <v>1</v>
      </c>
      <c r="F32" s="219">
        <f>((B32/C32)*D32*E32)</f>
        <v>2.4331196243263301E-2</v>
      </c>
    </row>
    <row r="33" spans="2:6" x14ac:dyDescent="0.25">
      <c r="B33" s="213">
        <v>4000</v>
      </c>
      <c r="C33" s="214">
        <v>1.64316</v>
      </c>
      <c r="D33" s="214">
        <v>1.0000000000000001E-5</v>
      </c>
      <c r="E33" s="215">
        <v>1</v>
      </c>
      <c r="F33" s="219">
        <f t="shared" ref="F33:F36" si="0">((B33/C33)*D33*E33)</f>
        <v>2.4343338445434407E-2</v>
      </c>
    </row>
    <row r="34" spans="2:6" x14ac:dyDescent="0.25">
      <c r="B34" s="213">
        <v>6000</v>
      </c>
      <c r="C34" s="214">
        <v>2.4674100000000001</v>
      </c>
      <c r="D34" s="214">
        <v>1.0000000000000001E-5</v>
      </c>
      <c r="E34" s="215">
        <v>1</v>
      </c>
      <c r="F34" s="219">
        <f t="shared" si="0"/>
        <v>2.4316996364609048E-2</v>
      </c>
    </row>
    <row r="35" spans="2:6" x14ac:dyDescent="0.25">
      <c r="B35" s="213">
        <v>8000</v>
      </c>
      <c r="C35" s="214">
        <v>3.2863199999999999</v>
      </c>
      <c r="D35" s="214">
        <v>1.0000000000000001E-5</v>
      </c>
      <c r="E35" s="215">
        <v>1</v>
      </c>
      <c r="F35" s="219">
        <f t="shared" si="0"/>
        <v>2.4343338445434407E-2</v>
      </c>
    </row>
    <row r="36" spans="2:6" x14ac:dyDescent="0.25">
      <c r="B36" s="213">
        <v>10000</v>
      </c>
      <c r="C36" s="214">
        <v>4.1123500000000002</v>
      </c>
      <c r="D36" s="214">
        <v>1.0000000000000001E-5</v>
      </c>
      <c r="E36" s="215">
        <v>1</v>
      </c>
      <c r="F36" s="219">
        <f t="shared" si="0"/>
        <v>2.4316996364609048E-2</v>
      </c>
    </row>
    <row r="37" spans="2:6" x14ac:dyDescent="0.25">
      <c r="B37" s="209"/>
      <c r="C37" s="209"/>
      <c r="D37" s="209"/>
      <c r="E37" s="209"/>
      <c r="F37" s="220"/>
    </row>
    <row r="38" spans="2:6" x14ac:dyDescent="0.25">
      <c r="B38" s="209"/>
      <c r="C38" s="209"/>
      <c r="D38" s="588" t="s">
        <v>281</v>
      </c>
      <c r="E38" s="588"/>
      <c r="F38" s="219">
        <f>AVERAGE(F32:F36)</f>
        <v>2.433037317267004E-2</v>
      </c>
    </row>
  </sheetData>
  <mergeCells count="4">
    <mergeCell ref="D38:E38"/>
    <mergeCell ref="B28:E28"/>
    <mergeCell ref="A2:R2"/>
    <mergeCell ref="C1:I1"/>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428C6-478F-42E5-A631-E2B5C47714F0}">
  <dimension ref="A1:F66"/>
  <sheetViews>
    <sheetView workbookViewId="0">
      <selection activeCell="I20" sqref="I20"/>
    </sheetView>
  </sheetViews>
  <sheetFormatPr defaultRowHeight="15" x14ac:dyDescent="0.25"/>
  <cols>
    <col min="1" max="1" width="21.42578125" customWidth="1"/>
    <col min="2" max="2" width="42" customWidth="1"/>
    <col min="3" max="4" width="16" customWidth="1"/>
    <col min="5" max="5" width="14" customWidth="1"/>
    <col min="6" max="6" width="50" customWidth="1"/>
  </cols>
  <sheetData>
    <row r="1" spans="1:6" ht="20.25" x14ac:dyDescent="0.3">
      <c r="A1" s="906" t="s">
        <v>712</v>
      </c>
      <c r="B1" s="872"/>
      <c r="C1" s="872"/>
      <c r="D1" s="872"/>
      <c r="E1" s="872"/>
      <c r="F1" s="872"/>
    </row>
    <row r="2" spans="1:6" ht="15.75" x14ac:dyDescent="0.25">
      <c r="A2" s="905" t="s">
        <v>711</v>
      </c>
      <c r="B2" s="872"/>
      <c r="C2" s="872"/>
      <c r="D2" s="872"/>
      <c r="E2" s="872"/>
      <c r="F2" s="872"/>
    </row>
    <row r="3" spans="1:6" x14ac:dyDescent="0.25">
      <c r="A3" s="904" t="s">
        <v>710</v>
      </c>
      <c r="B3" s="872"/>
      <c r="C3" s="872"/>
      <c r="D3" s="872"/>
      <c r="E3" s="872"/>
      <c r="F3" s="872"/>
    </row>
    <row r="5" spans="1:6" x14ac:dyDescent="0.25">
      <c r="A5" s="902" t="s">
        <v>709</v>
      </c>
      <c r="B5" s="872"/>
      <c r="C5" s="901" t="s">
        <v>708</v>
      </c>
      <c r="D5" s="872"/>
      <c r="E5" s="872"/>
      <c r="F5" s="872"/>
    </row>
    <row r="6" spans="1:6" x14ac:dyDescent="0.25">
      <c r="A6" s="902" t="s">
        <v>707</v>
      </c>
      <c r="B6" s="872"/>
      <c r="C6" s="901" t="s">
        <v>706</v>
      </c>
      <c r="D6" s="872"/>
      <c r="E6" s="872"/>
      <c r="F6" s="872"/>
    </row>
    <row r="7" spans="1:6" x14ac:dyDescent="0.25">
      <c r="A7" s="902" t="s">
        <v>705</v>
      </c>
      <c r="B7" s="872"/>
      <c r="C7" s="901" t="s">
        <v>704</v>
      </c>
      <c r="D7" s="872"/>
      <c r="E7" s="872"/>
      <c r="F7" s="872"/>
    </row>
    <row r="8" spans="1:6" x14ac:dyDescent="0.25">
      <c r="A8" s="902" t="s">
        <v>703</v>
      </c>
      <c r="B8" s="872"/>
      <c r="C8" s="901" t="s">
        <v>702</v>
      </c>
      <c r="D8" s="872"/>
      <c r="E8" s="872"/>
      <c r="F8" s="872"/>
    </row>
    <row r="9" spans="1:6" x14ac:dyDescent="0.25">
      <c r="A9" s="902" t="s">
        <v>701</v>
      </c>
      <c r="B9" s="872"/>
      <c r="C9" s="903" t="s">
        <v>713</v>
      </c>
      <c r="D9" s="872"/>
      <c r="E9" s="872"/>
      <c r="F9" s="872"/>
    </row>
    <row r="10" spans="1:6" x14ac:dyDescent="0.25">
      <c r="A10" s="902" t="s">
        <v>714</v>
      </c>
      <c r="B10" s="872"/>
      <c r="C10" s="903" t="s">
        <v>715</v>
      </c>
      <c r="D10" s="872"/>
      <c r="E10" s="872"/>
      <c r="F10" s="872"/>
    </row>
    <row r="11" spans="1:6" x14ac:dyDescent="0.25">
      <c r="A11" s="902" t="s">
        <v>700</v>
      </c>
      <c r="B11" s="872"/>
      <c r="C11" s="901" t="s">
        <v>699</v>
      </c>
      <c r="D11" s="872"/>
      <c r="E11" s="872"/>
      <c r="F11" s="872"/>
    </row>
    <row r="12" spans="1:6" x14ac:dyDescent="0.25">
      <c r="A12" s="902" t="s">
        <v>698</v>
      </c>
      <c r="B12" s="872"/>
      <c r="C12" s="901" t="s">
        <v>697</v>
      </c>
      <c r="D12" s="872"/>
      <c r="E12" s="872"/>
      <c r="F12" s="872"/>
    </row>
    <row r="14" spans="1:6" ht="15.75" x14ac:dyDescent="0.25">
      <c r="A14" s="900" t="s">
        <v>696</v>
      </c>
      <c r="B14" s="872"/>
      <c r="C14" s="872"/>
      <c r="D14" s="872"/>
      <c r="E14" s="872"/>
      <c r="F14" s="872"/>
    </row>
    <row r="16" spans="1:6" ht="15.75" thickBot="1" x14ac:dyDescent="0.3">
      <c r="A16" s="874" t="s">
        <v>695</v>
      </c>
      <c r="B16" s="872"/>
      <c r="C16" s="872"/>
      <c r="D16" s="872"/>
      <c r="E16" s="872"/>
      <c r="F16" s="872"/>
    </row>
    <row r="17" spans="1:6" x14ac:dyDescent="0.25">
      <c r="A17" s="879" t="s">
        <v>565</v>
      </c>
      <c r="B17" s="879" t="s">
        <v>694</v>
      </c>
      <c r="C17" s="879" t="s">
        <v>693</v>
      </c>
      <c r="D17" s="879" t="s">
        <v>692</v>
      </c>
      <c r="E17" s="879" t="s">
        <v>568</v>
      </c>
      <c r="F17" s="879" t="s">
        <v>204</v>
      </c>
    </row>
    <row r="18" spans="1:6" ht="65.099999999999994" customHeight="1" x14ac:dyDescent="0.25">
      <c r="A18" s="894">
        <v>1</v>
      </c>
      <c r="B18" s="893" t="s">
        <v>691</v>
      </c>
      <c r="C18" s="892">
        <v>8</v>
      </c>
      <c r="D18" s="892">
        <v>8</v>
      </c>
      <c r="E18" s="891" t="s">
        <v>569</v>
      </c>
      <c r="F18" s="890" t="s">
        <v>690</v>
      </c>
    </row>
    <row r="19" spans="1:6" ht="65.099999999999994" customHeight="1" x14ac:dyDescent="0.25">
      <c r="A19" s="894">
        <v>2</v>
      </c>
      <c r="B19" s="893" t="s">
        <v>689</v>
      </c>
      <c r="C19" s="892">
        <v>73</v>
      </c>
      <c r="D19" s="892">
        <v>73</v>
      </c>
      <c r="E19" s="891" t="s">
        <v>569</v>
      </c>
      <c r="F19" s="890" t="s">
        <v>688</v>
      </c>
    </row>
    <row r="20" spans="1:6" ht="65.099999999999994" customHeight="1" x14ac:dyDescent="0.25">
      <c r="A20" s="894">
        <v>3</v>
      </c>
      <c r="B20" s="893" t="s">
        <v>687</v>
      </c>
      <c r="C20" s="892">
        <v>16</v>
      </c>
      <c r="D20" s="892">
        <v>16</v>
      </c>
      <c r="E20" s="891" t="s">
        <v>569</v>
      </c>
      <c r="F20" s="890" t="s">
        <v>686</v>
      </c>
    </row>
    <row r="21" spans="1:6" ht="65.099999999999994" customHeight="1" x14ac:dyDescent="0.25">
      <c r="A21" s="894">
        <v>4</v>
      </c>
      <c r="B21" s="893" t="s">
        <v>685</v>
      </c>
      <c r="C21" s="892">
        <v>30</v>
      </c>
      <c r="D21" s="892">
        <v>30</v>
      </c>
      <c r="E21" s="891" t="s">
        <v>569</v>
      </c>
      <c r="F21" s="890" t="s">
        <v>684</v>
      </c>
    </row>
    <row r="22" spans="1:6" ht="65.099999999999994" customHeight="1" x14ac:dyDescent="0.25">
      <c r="A22" s="894">
        <v>5</v>
      </c>
      <c r="B22" s="893" t="s">
        <v>683</v>
      </c>
      <c r="C22" s="892">
        <v>48</v>
      </c>
      <c r="D22" s="892">
        <v>48</v>
      </c>
      <c r="E22" s="891" t="s">
        <v>569</v>
      </c>
      <c r="F22" s="890" t="s">
        <v>682</v>
      </c>
    </row>
    <row r="23" spans="1:6" ht="65.099999999999994" customHeight="1" x14ac:dyDescent="0.25">
      <c r="A23" s="899">
        <v>6</v>
      </c>
      <c r="B23" s="898" t="s">
        <v>681</v>
      </c>
      <c r="C23" s="897">
        <v>19</v>
      </c>
      <c r="D23" s="897">
        <v>17</v>
      </c>
      <c r="E23" s="896" t="s">
        <v>680</v>
      </c>
      <c r="F23" s="895" t="s">
        <v>679</v>
      </c>
    </row>
    <row r="24" spans="1:6" ht="65.099999999999994" customHeight="1" x14ac:dyDescent="0.25">
      <c r="A24" s="894">
        <v>7</v>
      </c>
      <c r="B24" s="893" t="s">
        <v>678</v>
      </c>
      <c r="C24" s="892">
        <v>2</v>
      </c>
      <c r="D24" s="892">
        <v>2</v>
      </c>
      <c r="E24" s="891" t="s">
        <v>569</v>
      </c>
      <c r="F24" s="890" t="s">
        <v>677</v>
      </c>
    </row>
    <row r="25" spans="1:6" x14ac:dyDescent="0.25">
      <c r="A25" s="889" t="s">
        <v>676</v>
      </c>
      <c r="B25" s="888"/>
      <c r="C25" s="887">
        <v>196</v>
      </c>
      <c r="D25" s="887">
        <v>194</v>
      </c>
      <c r="E25" s="887" t="s">
        <v>675</v>
      </c>
      <c r="F25" s="886"/>
    </row>
    <row r="27" spans="1:6" ht="15.75" thickBot="1" x14ac:dyDescent="0.3">
      <c r="A27" s="874" t="s">
        <v>674</v>
      </c>
      <c r="B27" s="872"/>
      <c r="C27" s="872"/>
      <c r="D27" s="872"/>
      <c r="E27" s="872"/>
      <c r="F27" s="872"/>
    </row>
    <row r="28" spans="1:6" x14ac:dyDescent="0.25">
      <c r="A28" s="885" t="s">
        <v>565</v>
      </c>
      <c r="B28" s="885" t="s">
        <v>673</v>
      </c>
      <c r="C28" s="885" t="s">
        <v>566</v>
      </c>
      <c r="D28" s="885" t="s">
        <v>567</v>
      </c>
      <c r="E28" s="885" t="s">
        <v>672</v>
      </c>
      <c r="F28" s="885" t="s">
        <v>671</v>
      </c>
    </row>
    <row r="29" spans="1:6" ht="75" customHeight="1" x14ac:dyDescent="0.25">
      <c r="A29" s="883">
        <v>1</v>
      </c>
      <c r="B29" s="884" t="s">
        <v>670</v>
      </c>
      <c r="C29" s="883" t="s">
        <v>669</v>
      </c>
      <c r="D29" s="883" t="s">
        <v>668</v>
      </c>
      <c r="E29" s="882" t="s">
        <v>667</v>
      </c>
      <c r="F29" s="882" t="s">
        <v>666</v>
      </c>
    </row>
    <row r="30" spans="1:6" ht="75" customHeight="1" x14ac:dyDescent="0.25">
      <c r="A30" s="883">
        <v>2</v>
      </c>
      <c r="B30" s="884" t="s">
        <v>665</v>
      </c>
      <c r="C30" s="883" t="s">
        <v>664</v>
      </c>
      <c r="D30" s="883" t="s">
        <v>663</v>
      </c>
      <c r="E30" s="882" t="s">
        <v>662</v>
      </c>
      <c r="F30" s="882" t="s">
        <v>661</v>
      </c>
    </row>
    <row r="32" spans="1:6" ht="15.75" thickBot="1" x14ac:dyDescent="0.3">
      <c r="A32" s="874" t="s">
        <v>660</v>
      </c>
      <c r="B32" s="872"/>
      <c r="C32" s="872"/>
      <c r="D32" s="872"/>
      <c r="E32" s="872"/>
      <c r="F32" s="872"/>
    </row>
    <row r="33" spans="1:6" ht="45" customHeight="1" x14ac:dyDescent="0.25">
      <c r="A33" s="881" t="s">
        <v>655</v>
      </c>
      <c r="B33" s="880" t="s">
        <v>659</v>
      </c>
      <c r="C33" s="872"/>
      <c r="D33" s="872"/>
      <c r="E33" s="872"/>
      <c r="F33" s="872"/>
    </row>
    <row r="34" spans="1:6" ht="45" customHeight="1" x14ac:dyDescent="0.25">
      <c r="A34" s="881" t="s">
        <v>655</v>
      </c>
      <c r="B34" s="880" t="s">
        <v>658</v>
      </c>
      <c r="C34" s="872"/>
      <c r="D34" s="872"/>
      <c r="E34" s="872"/>
      <c r="F34" s="872"/>
    </row>
    <row r="35" spans="1:6" ht="45" customHeight="1" x14ac:dyDescent="0.25">
      <c r="A35" s="881" t="s">
        <v>655</v>
      </c>
      <c r="B35" s="880" t="s">
        <v>657</v>
      </c>
      <c r="C35" s="872"/>
      <c r="D35" s="872"/>
      <c r="E35" s="872"/>
      <c r="F35" s="872"/>
    </row>
    <row r="36" spans="1:6" ht="45" customHeight="1" x14ac:dyDescent="0.25">
      <c r="A36" s="881" t="s">
        <v>655</v>
      </c>
      <c r="B36" s="880" t="s">
        <v>656</v>
      </c>
      <c r="C36" s="872"/>
      <c r="D36" s="872"/>
      <c r="E36" s="872"/>
      <c r="F36" s="872"/>
    </row>
    <row r="37" spans="1:6" ht="45" customHeight="1" x14ac:dyDescent="0.25">
      <c r="A37" s="881" t="s">
        <v>655</v>
      </c>
      <c r="B37" s="880" t="s">
        <v>654</v>
      </c>
      <c r="C37" s="872"/>
      <c r="D37" s="872"/>
      <c r="E37" s="872"/>
      <c r="F37" s="872"/>
    </row>
    <row r="39" spans="1:6" x14ac:dyDescent="0.3">
      <c r="A39" s="874" t="s">
        <v>653</v>
      </c>
      <c r="B39" s="872"/>
      <c r="C39" s="872"/>
      <c r="D39" s="872"/>
      <c r="E39" s="872"/>
      <c r="F39" s="872"/>
    </row>
    <row r="40" spans="1:6" ht="30" x14ac:dyDescent="0.25">
      <c r="A40" s="879" t="s">
        <v>565</v>
      </c>
      <c r="B40" s="879" t="s">
        <v>652</v>
      </c>
      <c r="C40" s="879" t="s">
        <v>651</v>
      </c>
      <c r="D40" s="879" t="s">
        <v>650</v>
      </c>
      <c r="E40" s="879" t="s">
        <v>649</v>
      </c>
      <c r="F40" s="879" t="s">
        <v>648</v>
      </c>
    </row>
    <row r="41" spans="1:6" ht="32.1" customHeight="1" x14ac:dyDescent="0.25">
      <c r="A41" s="877">
        <v>1</v>
      </c>
      <c r="B41" s="876" t="s">
        <v>647</v>
      </c>
      <c r="C41" s="876" t="s">
        <v>646</v>
      </c>
      <c r="D41" s="876" t="s">
        <v>645</v>
      </c>
      <c r="E41" s="876" t="s">
        <v>644</v>
      </c>
      <c r="F41" s="878" t="s">
        <v>569</v>
      </c>
    </row>
    <row r="42" spans="1:6" ht="32.1" customHeight="1" x14ac:dyDescent="0.25">
      <c r="A42" s="877">
        <v>2</v>
      </c>
      <c r="B42" s="876" t="s">
        <v>643</v>
      </c>
      <c r="C42" s="876" t="s">
        <v>642</v>
      </c>
      <c r="D42" s="876" t="s">
        <v>593</v>
      </c>
      <c r="E42" s="876" t="s">
        <v>641</v>
      </c>
      <c r="F42" s="878" t="s">
        <v>569</v>
      </c>
    </row>
    <row r="43" spans="1:6" ht="32.1" customHeight="1" x14ac:dyDescent="0.25">
      <c r="A43" s="877">
        <v>3</v>
      </c>
      <c r="B43" s="876" t="s">
        <v>640</v>
      </c>
      <c r="C43" s="876" t="s">
        <v>639</v>
      </c>
      <c r="D43" s="876" t="s">
        <v>638</v>
      </c>
      <c r="E43" s="876" t="s">
        <v>637</v>
      </c>
      <c r="F43" s="878" t="s">
        <v>569</v>
      </c>
    </row>
    <row r="44" spans="1:6" ht="32.1" customHeight="1" x14ac:dyDescent="0.25">
      <c r="A44" s="877">
        <v>4</v>
      </c>
      <c r="B44" s="876" t="s">
        <v>636</v>
      </c>
      <c r="C44" s="876" t="s">
        <v>632</v>
      </c>
      <c r="D44" s="876" t="s">
        <v>635</v>
      </c>
      <c r="E44" s="876" t="s">
        <v>634</v>
      </c>
      <c r="F44" s="878" t="s">
        <v>569</v>
      </c>
    </row>
    <row r="45" spans="1:6" ht="32.1" customHeight="1" x14ac:dyDescent="0.25">
      <c r="A45" s="877">
        <v>5</v>
      </c>
      <c r="B45" s="876" t="s">
        <v>633</v>
      </c>
      <c r="C45" s="876" t="s">
        <v>632</v>
      </c>
      <c r="D45" s="876" t="s">
        <v>631</v>
      </c>
      <c r="E45" s="876" t="s">
        <v>630</v>
      </c>
      <c r="F45" s="878" t="s">
        <v>569</v>
      </c>
    </row>
    <row r="46" spans="1:6" ht="32.1" customHeight="1" x14ac:dyDescent="0.25">
      <c r="A46" s="877">
        <v>6</v>
      </c>
      <c r="B46" s="876" t="s">
        <v>629</v>
      </c>
      <c r="C46" s="876" t="s">
        <v>628</v>
      </c>
      <c r="D46" s="876" t="s">
        <v>627</v>
      </c>
      <c r="E46" s="876" t="s">
        <v>626</v>
      </c>
      <c r="F46" s="878" t="s">
        <v>569</v>
      </c>
    </row>
    <row r="47" spans="1:6" ht="32.1" customHeight="1" x14ac:dyDescent="0.25">
      <c r="A47" s="877">
        <v>7</v>
      </c>
      <c r="B47" s="876" t="s">
        <v>625</v>
      </c>
      <c r="C47" s="876" t="s">
        <v>622</v>
      </c>
      <c r="D47" s="876" t="s">
        <v>621</v>
      </c>
      <c r="E47" s="876" t="s">
        <v>624</v>
      </c>
      <c r="F47" s="878" t="s">
        <v>569</v>
      </c>
    </row>
    <row r="48" spans="1:6" ht="32.1" customHeight="1" x14ac:dyDescent="0.25">
      <c r="A48" s="877">
        <v>8</v>
      </c>
      <c r="B48" s="876" t="s">
        <v>623</v>
      </c>
      <c r="C48" s="876" t="s">
        <v>622</v>
      </c>
      <c r="D48" s="876" t="s">
        <v>621</v>
      </c>
      <c r="E48" s="876" t="s">
        <v>620</v>
      </c>
      <c r="F48" s="878" t="s">
        <v>569</v>
      </c>
    </row>
    <row r="49" spans="1:6" ht="32.1" customHeight="1" x14ac:dyDescent="0.25">
      <c r="A49" s="877">
        <v>9</v>
      </c>
      <c r="B49" s="876" t="s">
        <v>619</v>
      </c>
      <c r="C49" s="876" t="s">
        <v>574</v>
      </c>
      <c r="D49" s="876" t="s">
        <v>618</v>
      </c>
      <c r="E49" s="876" t="s">
        <v>617</v>
      </c>
      <c r="F49" s="878" t="s">
        <v>569</v>
      </c>
    </row>
    <row r="50" spans="1:6" ht="32.1" customHeight="1" x14ac:dyDescent="0.25">
      <c r="A50" s="877">
        <v>10</v>
      </c>
      <c r="B50" s="876" t="s">
        <v>616</v>
      </c>
      <c r="C50" s="876" t="s">
        <v>615</v>
      </c>
      <c r="D50" s="876" t="s">
        <v>614</v>
      </c>
      <c r="E50" s="876" t="s">
        <v>613</v>
      </c>
      <c r="F50" s="878" t="s">
        <v>569</v>
      </c>
    </row>
    <row r="51" spans="1:6" ht="32.1" customHeight="1" x14ac:dyDescent="0.25">
      <c r="A51" s="877">
        <v>11</v>
      </c>
      <c r="B51" s="876" t="s">
        <v>612</v>
      </c>
      <c r="C51" s="876" t="s">
        <v>587</v>
      </c>
      <c r="D51" s="876" t="s">
        <v>607</v>
      </c>
      <c r="E51" s="876" t="s">
        <v>611</v>
      </c>
      <c r="F51" s="878" t="s">
        <v>569</v>
      </c>
    </row>
    <row r="52" spans="1:6" ht="32.1" customHeight="1" x14ac:dyDescent="0.25">
      <c r="A52" s="877">
        <v>12</v>
      </c>
      <c r="B52" s="876" t="s">
        <v>610</v>
      </c>
      <c r="C52" s="876" t="s">
        <v>587</v>
      </c>
      <c r="D52" s="876" t="s">
        <v>607</v>
      </c>
      <c r="E52" s="876" t="s">
        <v>609</v>
      </c>
      <c r="F52" s="878" t="s">
        <v>569</v>
      </c>
    </row>
    <row r="53" spans="1:6" ht="32.1" customHeight="1" x14ac:dyDescent="0.25">
      <c r="A53" s="877">
        <v>13</v>
      </c>
      <c r="B53" s="876" t="s">
        <v>608</v>
      </c>
      <c r="C53" s="876" t="s">
        <v>587</v>
      </c>
      <c r="D53" s="876" t="s">
        <v>607</v>
      </c>
      <c r="E53" s="876" t="s">
        <v>606</v>
      </c>
      <c r="F53" s="878" t="s">
        <v>569</v>
      </c>
    </row>
    <row r="54" spans="1:6" ht="32.1" customHeight="1" x14ac:dyDescent="0.25">
      <c r="A54" s="877">
        <v>14</v>
      </c>
      <c r="B54" s="876" t="s">
        <v>605</v>
      </c>
      <c r="C54" s="876" t="s">
        <v>604</v>
      </c>
      <c r="D54" s="876" t="s">
        <v>593</v>
      </c>
      <c r="E54" s="876" t="s">
        <v>603</v>
      </c>
      <c r="F54" s="878" t="s">
        <v>569</v>
      </c>
    </row>
    <row r="55" spans="1:6" ht="32.1" customHeight="1" x14ac:dyDescent="0.25">
      <c r="A55" s="877">
        <v>15</v>
      </c>
      <c r="B55" s="876" t="s">
        <v>602</v>
      </c>
      <c r="C55" s="876" t="s">
        <v>601</v>
      </c>
      <c r="D55" s="876" t="s">
        <v>593</v>
      </c>
      <c r="E55" s="876" t="s">
        <v>600</v>
      </c>
      <c r="F55" s="878" t="s">
        <v>569</v>
      </c>
    </row>
    <row r="56" spans="1:6" ht="32.1" customHeight="1" x14ac:dyDescent="0.25">
      <c r="A56" s="877">
        <v>16</v>
      </c>
      <c r="B56" s="876" t="s">
        <v>599</v>
      </c>
      <c r="C56" s="876" t="s">
        <v>598</v>
      </c>
      <c r="D56" s="876" t="s">
        <v>597</v>
      </c>
      <c r="E56" s="876" t="s">
        <v>596</v>
      </c>
      <c r="F56" s="878" t="s">
        <v>569</v>
      </c>
    </row>
    <row r="57" spans="1:6" ht="32.1" customHeight="1" x14ac:dyDescent="0.25">
      <c r="A57" s="877">
        <v>17</v>
      </c>
      <c r="B57" s="876" t="s">
        <v>595</v>
      </c>
      <c r="C57" s="876" t="s">
        <v>594</v>
      </c>
      <c r="D57" s="876" t="s">
        <v>593</v>
      </c>
      <c r="E57" s="876" t="s">
        <v>592</v>
      </c>
      <c r="F57" s="878" t="s">
        <v>569</v>
      </c>
    </row>
    <row r="58" spans="1:6" ht="32.1" customHeight="1" x14ac:dyDescent="0.25">
      <c r="A58" s="877">
        <v>18</v>
      </c>
      <c r="B58" s="876" t="s">
        <v>591</v>
      </c>
      <c r="C58" s="876" t="s">
        <v>587</v>
      </c>
      <c r="D58" s="876" t="s">
        <v>590</v>
      </c>
      <c r="E58" s="876" t="s">
        <v>589</v>
      </c>
      <c r="F58" s="878" t="s">
        <v>569</v>
      </c>
    </row>
    <row r="59" spans="1:6" ht="32.1" customHeight="1" x14ac:dyDescent="0.25">
      <c r="A59" s="877">
        <v>19</v>
      </c>
      <c r="B59" s="876" t="s">
        <v>588</v>
      </c>
      <c r="C59" s="876" t="s">
        <v>587</v>
      </c>
      <c r="D59" s="876" t="s">
        <v>586</v>
      </c>
      <c r="E59" s="876" t="s">
        <v>585</v>
      </c>
      <c r="F59" s="878" t="s">
        <v>569</v>
      </c>
    </row>
    <row r="60" spans="1:6" ht="32.1" customHeight="1" x14ac:dyDescent="0.25">
      <c r="A60" s="877">
        <v>20</v>
      </c>
      <c r="B60" s="876" t="s">
        <v>584</v>
      </c>
      <c r="C60" s="876" t="s">
        <v>574</v>
      </c>
      <c r="D60" s="876" t="s">
        <v>583</v>
      </c>
      <c r="E60" s="876" t="s">
        <v>582</v>
      </c>
      <c r="F60" s="878" t="s">
        <v>569</v>
      </c>
    </row>
    <row r="61" spans="1:6" ht="32.1" customHeight="1" x14ac:dyDescent="0.25">
      <c r="A61" s="877">
        <v>21</v>
      </c>
      <c r="B61" s="876" t="s">
        <v>581</v>
      </c>
      <c r="C61" s="876" t="s">
        <v>578</v>
      </c>
      <c r="D61" s="876" t="s">
        <v>577</v>
      </c>
      <c r="E61" s="876" t="s">
        <v>580</v>
      </c>
      <c r="F61" s="878" t="s">
        <v>569</v>
      </c>
    </row>
    <row r="62" spans="1:6" ht="32.1" customHeight="1" x14ac:dyDescent="0.25">
      <c r="A62" s="877">
        <v>22</v>
      </c>
      <c r="B62" s="876" t="s">
        <v>579</v>
      </c>
      <c r="C62" s="876" t="s">
        <v>578</v>
      </c>
      <c r="D62" s="876" t="s">
        <v>577</v>
      </c>
      <c r="E62" s="876" t="s">
        <v>576</v>
      </c>
      <c r="F62" s="878" t="s">
        <v>569</v>
      </c>
    </row>
    <row r="63" spans="1:6" ht="32.1" customHeight="1" x14ac:dyDescent="0.25">
      <c r="A63" s="877">
        <v>23</v>
      </c>
      <c r="B63" s="876" t="s">
        <v>575</v>
      </c>
      <c r="C63" s="876" t="s">
        <v>574</v>
      </c>
      <c r="D63" s="876" t="s">
        <v>573</v>
      </c>
      <c r="E63" s="876" t="s">
        <v>572</v>
      </c>
      <c r="F63" s="875" t="s">
        <v>571</v>
      </c>
    </row>
    <row r="66" spans="1:6" x14ac:dyDescent="0.25">
      <c r="A66" s="873"/>
      <c r="B66" s="872"/>
      <c r="C66" s="872"/>
      <c r="D66" s="872"/>
      <c r="E66" s="872"/>
      <c r="F66" s="872"/>
    </row>
  </sheetData>
  <mergeCells count="36">
    <mergeCell ref="A11:B11"/>
    <mergeCell ref="A27:F27"/>
    <mergeCell ref="C6:F6"/>
    <mergeCell ref="C5:F5"/>
    <mergeCell ref="A35"/>
    <mergeCell ref="A16:F16"/>
    <mergeCell ref="A34"/>
    <mergeCell ref="C8:F8"/>
    <mergeCell ref="C7:F7"/>
    <mergeCell ref="A37"/>
    <mergeCell ref="A3:F3"/>
    <mergeCell ref="A6:B6"/>
    <mergeCell ref="A2:F2"/>
    <mergeCell ref="A33"/>
    <mergeCell ref="A7:B7"/>
    <mergeCell ref="A25:B25"/>
    <mergeCell ref="A14:F14"/>
    <mergeCell ref="A32:F32"/>
    <mergeCell ref="A66:F66"/>
    <mergeCell ref="A12:B12"/>
    <mergeCell ref="B37:F37"/>
    <mergeCell ref="B33:F33"/>
    <mergeCell ref="A5:B5"/>
    <mergeCell ref="B36:F36"/>
    <mergeCell ref="A39:F39"/>
    <mergeCell ref="C10:F10"/>
    <mergeCell ref="A8:B8"/>
    <mergeCell ref="A36"/>
    <mergeCell ref="A1:F1"/>
    <mergeCell ref="C12:F12"/>
    <mergeCell ref="A10:B10"/>
    <mergeCell ref="C11:F11"/>
    <mergeCell ref="B35:F35"/>
    <mergeCell ref="A9:B9"/>
    <mergeCell ref="B34:F34"/>
    <mergeCell ref="C9:F9"/>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0B94D-C63B-477C-B46B-E20BE8954D46}">
  <dimension ref="A1:AO83"/>
  <sheetViews>
    <sheetView zoomScale="120" zoomScaleNormal="120" workbookViewId="0">
      <selection activeCell="D51" sqref="D51"/>
    </sheetView>
  </sheetViews>
  <sheetFormatPr defaultColWidth="8.85546875" defaultRowHeight="15" x14ac:dyDescent="0.25"/>
  <cols>
    <col min="1" max="1" width="0.7109375" customWidth="1"/>
    <col min="2" max="2" width="21.42578125" bestFit="1" customWidth="1"/>
    <col min="3" max="3" width="24.7109375" customWidth="1"/>
    <col min="4" max="4" width="12.140625" customWidth="1"/>
    <col min="5" max="5" width="14.7109375" customWidth="1"/>
    <col min="6" max="6" width="15.28515625" customWidth="1"/>
    <col min="7" max="8" width="15.28515625" bestFit="1" customWidth="1"/>
    <col min="9" max="9" width="14.7109375" bestFit="1" customWidth="1"/>
    <col min="10" max="10" width="15.28515625" bestFit="1" customWidth="1"/>
    <col min="11" max="11" width="14.7109375" bestFit="1" customWidth="1"/>
    <col min="12" max="12" width="15" customWidth="1"/>
    <col min="13" max="13" width="14.7109375" customWidth="1"/>
    <col min="14" max="14" width="13.7109375" bestFit="1" customWidth="1"/>
    <col min="15" max="15" width="12.28515625" bestFit="1" customWidth="1"/>
    <col min="16" max="16" width="12.28515625" style="232" customWidth="1"/>
    <col min="17" max="18" width="12.28515625" customWidth="1"/>
    <col min="19" max="19" width="14.7109375" customWidth="1"/>
    <col min="20" max="20" width="16.140625" customWidth="1"/>
    <col min="21" max="21" width="12" customWidth="1"/>
    <col min="22" max="22" width="13.85546875" customWidth="1"/>
    <col min="23" max="23" width="12.7109375" bestFit="1" customWidth="1"/>
    <col min="24" max="24" width="12.140625" customWidth="1"/>
    <col min="25" max="26" width="12.7109375" bestFit="1" customWidth="1"/>
    <col min="27" max="31" width="12.7109375" customWidth="1"/>
    <col min="32" max="32" width="28.85546875" style="342" bestFit="1" customWidth="1"/>
    <col min="33" max="33" width="13.5703125" style="342" bestFit="1" customWidth="1"/>
    <col min="34" max="34" width="9" bestFit="1" customWidth="1"/>
    <col min="35" max="35" width="12.7109375" customWidth="1"/>
    <col min="36" max="37" width="9" bestFit="1" customWidth="1"/>
    <col min="39" max="41" width="9" bestFit="1" customWidth="1"/>
  </cols>
  <sheetData>
    <row r="1" spans="1:41" ht="4.5" customHeight="1" thickBot="1" x14ac:dyDescent="0.3">
      <c r="B1" s="232"/>
      <c r="C1" s="232"/>
      <c r="D1" s="232"/>
      <c r="E1" s="232"/>
      <c r="F1" s="232"/>
      <c r="G1" s="232"/>
      <c r="H1" s="232"/>
      <c r="I1" s="232"/>
      <c r="J1" s="232"/>
      <c r="K1" s="232"/>
      <c r="L1" s="232"/>
      <c r="M1" s="232"/>
      <c r="N1" s="232"/>
    </row>
    <row r="2" spans="1:41" ht="50.25" customHeight="1" thickBot="1" x14ac:dyDescent="0.95">
      <c r="A2" s="232"/>
      <c r="B2" s="232"/>
      <c r="C2" s="232"/>
      <c r="D2" s="232"/>
      <c r="E2" s="770" t="s">
        <v>500</v>
      </c>
      <c r="F2" s="771"/>
      <c r="G2" s="771"/>
      <c r="H2" s="771"/>
      <c r="I2" s="771"/>
      <c r="J2" s="771"/>
      <c r="K2" s="771"/>
      <c r="L2" s="771"/>
      <c r="M2" s="771"/>
      <c r="N2" s="772"/>
      <c r="O2" s="435"/>
      <c r="P2" s="435"/>
      <c r="Q2" s="434"/>
      <c r="R2" s="434"/>
      <c r="U2" s="434"/>
      <c r="V2" s="434"/>
      <c r="W2" s="434"/>
      <c r="AF2" s="345" t="s">
        <v>499</v>
      </c>
      <c r="AG2" s="345"/>
      <c r="AH2" s="232"/>
      <c r="AI2" s="232"/>
      <c r="AJ2" s="232"/>
      <c r="AK2" s="232"/>
      <c r="AL2" s="232"/>
      <c r="AM2" s="232"/>
      <c r="AN2" s="232"/>
      <c r="AO2" s="232"/>
    </row>
    <row r="3" spans="1:41" x14ac:dyDescent="0.25">
      <c r="A3" s="232"/>
      <c r="B3" s="232"/>
      <c r="C3" s="395"/>
      <c r="D3" s="337"/>
      <c r="E3" s="232"/>
      <c r="F3" s="232"/>
      <c r="G3" s="232"/>
      <c r="H3" s="232"/>
      <c r="I3" s="232"/>
      <c r="J3" s="232"/>
      <c r="K3" s="232"/>
      <c r="L3" s="232"/>
      <c r="M3" s="232"/>
      <c r="N3" s="232"/>
      <c r="O3" s="232"/>
      <c r="AF3" s="396"/>
      <c r="AG3" s="396"/>
      <c r="AH3" s="232"/>
      <c r="AI3" s="232"/>
      <c r="AJ3" s="232"/>
      <c r="AK3" s="232"/>
      <c r="AL3" s="232"/>
      <c r="AM3" s="232"/>
      <c r="AN3" s="232"/>
      <c r="AO3" s="232"/>
    </row>
    <row r="4" spans="1:41" ht="15.75" x14ac:dyDescent="0.25">
      <c r="B4" s="773" t="s">
        <v>498</v>
      </c>
      <c r="C4" s="774"/>
      <c r="D4" s="337"/>
      <c r="E4" s="232"/>
      <c r="F4" s="785" t="s">
        <v>497</v>
      </c>
      <c r="G4" s="786"/>
      <c r="H4" s="786"/>
      <c r="I4" s="786"/>
      <c r="J4" s="786"/>
      <c r="K4" s="786"/>
      <c r="L4" s="786"/>
      <c r="M4" s="787"/>
      <c r="N4" s="232"/>
      <c r="O4" s="232"/>
      <c r="AF4" s="396" t="s">
        <v>496</v>
      </c>
      <c r="AG4" s="396" t="s">
        <v>484</v>
      </c>
      <c r="AH4" s="380"/>
      <c r="AI4" s="380"/>
      <c r="AJ4" s="380"/>
      <c r="AK4" s="380"/>
      <c r="AL4" s="380"/>
      <c r="AM4" s="380"/>
      <c r="AN4" s="380"/>
      <c r="AO4" s="380"/>
    </row>
    <row r="5" spans="1:41" x14ac:dyDescent="0.25">
      <c r="B5" s="433" t="s">
        <v>495</v>
      </c>
      <c r="C5" s="432" t="s">
        <v>48</v>
      </c>
      <c r="D5" s="337"/>
      <c r="E5" s="792" t="s">
        <v>494</v>
      </c>
      <c r="F5" s="788" t="s">
        <v>493</v>
      </c>
      <c r="G5" s="789"/>
      <c r="H5" s="809" t="s">
        <v>492</v>
      </c>
      <c r="I5" s="810"/>
      <c r="J5" s="788" t="s">
        <v>491</v>
      </c>
      <c r="K5" s="789"/>
      <c r="L5" s="807" t="s">
        <v>48</v>
      </c>
      <c r="M5" s="808"/>
      <c r="N5" s="232"/>
      <c r="O5" s="232"/>
      <c r="AF5" s="396"/>
      <c r="AG5" s="396"/>
      <c r="AH5" s="380"/>
      <c r="AI5" s="380" t="s">
        <v>478</v>
      </c>
      <c r="AJ5" s="380"/>
      <c r="AK5" s="380"/>
      <c r="AL5" s="380"/>
      <c r="AM5" s="380"/>
      <c r="AN5" s="380"/>
      <c r="AO5" s="380"/>
    </row>
    <row r="6" spans="1:41" x14ac:dyDescent="0.25">
      <c r="B6" s="430" t="s">
        <v>29</v>
      </c>
      <c r="C6" s="431">
        <v>44559</v>
      </c>
      <c r="D6" s="337"/>
      <c r="E6" s="792"/>
      <c r="F6" s="790" t="s">
        <v>490</v>
      </c>
      <c r="G6" s="791"/>
      <c r="H6" s="799" t="s">
        <v>489</v>
      </c>
      <c r="I6" s="799"/>
      <c r="J6" s="790" t="s">
        <v>488</v>
      </c>
      <c r="K6" s="791"/>
      <c r="L6" s="803" t="s">
        <v>487</v>
      </c>
      <c r="M6" s="804"/>
      <c r="N6" s="232"/>
      <c r="O6" s="232"/>
      <c r="AF6" s="396">
        <v>0</v>
      </c>
      <c r="AG6" s="396">
        <v>0</v>
      </c>
      <c r="AH6" s="380"/>
      <c r="AI6" s="380" t="s">
        <v>486</v>
      </c>
      <c r="AJ6" s="380"/>
      <c r="AK6" s="380"/>
      <c r="AL6" s="380"/>
      <c r="AM6" s="380"/>
      <c r="AN6" s="380"/>
      <c r="AO6" s="380"/>
    </row>
    <row r="7" spans="1:41" x14ac:dyDescent="0.25">
      <c r="B7" s="430" t="s">
        <v>485</v>
      </c>
      <c r="C7" s="429" t="s">
        <v>496</v>
      </c>
      <c r="D7" s="337"/>
      <c r="E7" s="792"/>
      <c r="F7" s="790" t="s">
        <v>483</v>
      </c>
      <c r="G7" s="791"/>
      <c r="H7" s="799" t="s">
        <v>482</v>
      </c>
      <c r="I7" s="799"/>
      <c r="J7" s="790" t="s">
        <v>481</v>
      </c>
      <c r="K7" s="791"/>
      <c r="L7" s="803" t="s">
        <v>480</v>
      </c>
      <c r="M7" s="804"/>
      <c r="N7" s="232"/>
      <c r="O7" s="232"/>
      <c r="AF7" s="419">
        <v>2000</v>
      </c>
      <c r="AG7" s="396">
        <v>500</v>
      </c>
      <c r="AH7" s="380"/>
      <c r="AI7" s="380" t="s">
        <v>336</v>
      </c>
      <c r="AJ7" s="380"/>
      <c r="AK7" s="380"/>
      <c r="AL7" s="380"/>
      <c r="AM7" s="380"/>
      <c r="AN7" s="380"/>
      <c r="AO7" s="380"/>
    </row>
    <row r="8" spans="1:41" x14ac:dyDescent="0.25">
      <c r="B8" s="430" t="s">
        <v>479</v>
      </c>
      <c r="C8" s="429" t="s">
        <v>478</v>
      </c>
      <c r="D8" s="337"/>
      <c r="E8" s="792"/>
      <c r="F8" s="805" t="s">
        <v>477</v>
      </c>
      <c r="G8" s="806"/>
      <c r="H8" s="800" t="s">
        <v>476</v>
      </c>
      <c r="I8" s="800"/>
      <c r="J8" s="805" t="s">
        <v>475</v>
      </c>
      <c r="K8" s="806"/>
      <c r="L8" s="801">
        <v>17403</v>
      </c>
      <c r="M8" s="802"/>
      <c r="N8" s="232"/>
      <c r="O8" s="232"/>
      <c r="AF8" s="419">
        <v>10000</v>
      </c>
      <c r="AG8" s="396">
        <v>2500</v>
      </c>
      <c r="AH8" s="380"/>
      <c r="AI8" s="380"/>
      <c r="AJ8" s="380"/>
      <c r="AK8" s="380"/>
      <c r="AL8" s="380"/>
      <c r="AM8" s="380"/>
      <c r="AN8" s="380"/>
      <c r="AO8" s="380"/>
    </row>
    <row r="9" spans="1:41" x14ac:dyDescent="0.25">
      <c r="B9" s="60" t="s">
        <v>474</v>
      </c>
      <c r="C9" s="428" t="s">
        <v>473</v>
      </c>
      <c r="D9" s="337"/>
      <c r="E9" s="792"/>
      <c r="F9" s="232"/>
      <c r="G9" s="232"/>
      <c r="H9" s="232"/>
      <c r="I9" s="424"/>
      <c r="J9" s="232"/>
      <c r="K9" s="232"/>
      <c r="L9" s="232"/>
      <c r="M9" s="232"/>
      <c r="N9" s="232"/>
      <c r="O9" s="232"/>
      <c r="AF9" s="419">
        <v>20000</v>
      </c>
      <c r="AG9" s="396">
        <v>5000</v>
      </c>
      <c r="AH9" s="380"/>
      <c r="AI9" s="380"/>
      <c r="AJ9" s="380"/>
      <c r="AK9" s="380"/>
      <c r="AL9" s="380"/>
      <c r="AM9" s="380"/>
      <c r="AN9" s="380"/>
      <c r="AO9" s="380"/>
    </row>
    <row r="10" spans="1:41" x14ac:dyDescent="0.25">
      <c r="B10" s="427"/>
      <c r="C10" s="426"/>
      <c r="D10" s="337"/>
      <c r="E10" s="792"/>
      <c r="F10" s="232"/>
      <c r="G10" s="232"/>
      <c r="H10" s="232"/>
      <c r="I10" s="424"/>
      <c r="J10" s="232"/>
      <c r="K10" s="232"/>
      <c r="L10" s="232"/>
      <c r="M10" s="232"/>
      <c r="N10" s="232"/>
      <c r="O10" s="232"/>
      <c r="AF10" s="419">
        <v>30000</v>
      </c>
      <c r="AG10" s="396">
        <v>7500</v>
      </c>
      <c r="AH10" s="380"/>
      <c r="AI10" s="380"/>
      <c r="AJ10" s="380"/>
      <c r="AK10" s="380"/>
      <c r="AL10" s="380"/>
      <c r="AM10" s="380"/>
      <c r="AN10" s="380"/>
      <c r="AO10" s="380"/>
    </row>
    <row r="11" spans="1:41" x14ac:dyDescent="0.25">
      <c r="B11" s="773" t="s">
        <v>472</v>
      </c>
      <c r="C11" s="782"/>
      <c r="D11" s="774"/>
      <c r="E11" s="792"/>
      <c r="F11" s="232"/>
      <c r="G11" s="232"/>
      <c r="H11" s="232"/>
      <c r="I11" s="232"/>
      <c r="J11" s="232"/>
      <c r="K11" s="232"/>
      <c r="L11" s="232"/>
      <c r="M11" s="232"/>
      <c r="N11" s="232"/>
      <c r="O11" s="232"/>
      <c r="AF11" s="419">
        <v>40000</v>
      </c>
      <c r="AG11" s="396">
        <v>10000</v>
      </c>
      <c r="AH11" s="380"/>
      <c r="AI11" s="380"/>
      <c r="AJ11" s="380"/>
      <c r="AK11" s="380"/>
      <c r="AL11" s="380"/>
      <c r="AM11" s="380"/>
      <c r="AN11" s="380"/>
      <c r="AO11" s="380"/>
    </row>
    <row r="12" spans="1:41" x14ac:dyDescent="0.25">
      <c r="B12" s="783" t="s">
        <v>471</v>
      </c>
      <c r="C12" s="784"/>
      <c r="D12" s="425" t="s">
        <v>470</v>
      </c>
      <c r="E12" s="792"/>
      <c r="F12" s="232"/>
      <c r="G12" s="424"/>
      <c r="H12" s="424"/>
      <c r="I12" s="232"/>
      <c r="J12" s="232"/>
      <c r="K12" s="232"/>
      <c r="L12" s="232"/>
      <c r="M12" s="232"/>
      <c r="N12" s="232"/>
      <c r="O12" s="232"/>
      <c r="AF12" s="419">
        <v>50000</v>
      </c>
      <c r="AG12" s="396">
        <v>12500</v>
      </c>
      <c r="AH12" s="380"/>
      <c r="AI12" s="380"/>
      <c r="AJ12" s="380"/>
      <c r="AK12" s="380"/>
      <c r="AL12" s="380"/>
      <c r="AM12" s="380"/>
      <c r="AN12" s="380"/>
      <c r="AO12" s="380"/>
    </row>
    <row r="13" spans="1:41" x14ac:dyDescent="0.25">
      <c r="B13" s="423" t="s">
        <v>469</v>
      </c>
      <c r="C13" s="422">
        <v>1E-4</v>
      </c>
      <c r="D13" s="338"/>
      <c r="E13" s="792"/>
      <c r="F13" s="232"/>
      <c r="G13" s="232"/>
      <c r="H13" s="232"/>
      <c r="I13" s="232"/>
      <c r="J13" s="232"/>
      <c r="K13" s="232"/>
      <c r="L13" s="232"/>
      <c r="M13" s="232"/>
      <c r="N13" s="232"/>
      <c r="O13" s="232"/>
      <c r="AF13" s="419">
        <v>60000</v>
      </c>
      <c r="AG13" s="396">
        <v>15000</v>
      </c>
      <c r="AH13" s="380"/>
      <c r="AI13" s="380"/>
      <c r="AJ13" s="380"/>
      <c r="AK13" s="380" t="s">
        <v>460</v>
      </c>
      <c r="AL13" s="380"/>
      <c r="AM13" s="380"/>
      <c r="AN13" s="380"/>
      <c r="AO13" s="380"/>
    </row>
    <row r="14" spans="1:41" x14ac:dyDescent="0.25">
      <c r="B14" s="37"/>
      <c r="C14" s="411"/>
      <c r="D14" s="232"/>
      <c r="E14" s="792"/>
      <c r="F14" s="232"/>
      <c r="G14" s="232"/>
      <c r="H14" s="232"/>
      <c r="I14" s="232"/>
      <c r="J14" s="232"/>
      <c r="K14" s="232"/>
      <c r="L14" s="232"/>
      <c r="M14" s="232"/>
      <c r="N14" s="232"/>
      <c r="O14" s="232"/>
      <c r="AF14" s="419">
        <v>70000</v>
      </c>
      <c r="AG14" s="396">
        <v>17500</v>
      </c>
      <c r="AH14" s="380"/>
      <c r="AI14" s="380"/>
      <c r="AJ14" s="380"/>
      <c r="AK14" s="380" t="s">
        <v>41</v>
      </c>
      <c r="AL14" s="380"/>
      <c r="AM14" s="380"/>
      <c r="AN14" s="380"/>
      <c r="AO14" s="380"/>
    </row>
    <row r="15" spans="1:41" x14ac:dyDescent="0.25">
      <c r="B15" s="773" t="s">
        <v>468</v>
      </c>
      <c r="C15" s="774"/>
      <c r="D15" s="343"/>
      <c r="E15" s="792"/>
      <c r="F15" s="232"/>
      <c r="G15" s="232"/>
      <c r="H15" s="232"/>
      <c r="I15" s="232"/>
      <c r="J15" s="232"/>
      <c r="K15" s="232"/>
      <c r="L15" s="232"/>
      <c r="M15" s="232"/>
      <c r="N15" s="232"/>
      <c r="O15" s="232"/>
      <c r="AF15" s="419">
        <v>80000</v>
      </c>
      <c r="AG15" s="396">
        <v>20000</v>
      </c>
      <c r="AH15" s="380"/>
      <c r="AI15" s="380"/>
      <c r="AJ15" s="380"/>
      <c r="AK15" s="380"/>
      <c r="AL15" s="380"/>
      <c r="AM15" s="380"/>
      <c r="AN15" s="380"/>
      <c r="AO15" s="380"/>
    </row>
    <row r="16" spans="1:41" x14ac:dyDescent="0.25">
      <c r="B16" s="416" t="s">
        <v>467</v>
      </c>
      <c r="C16" s="421">
        <v>1.5999999999999999E-5</v>
      </c>
      <c r="D16" s="232"/>
      <c r="E16" s="792"/>
      <c r="F16" s="232"/>
      <c r="G16" s="232"/>
      <c r="H16" s="232"/>
      <c r="I16" s="232"/>
      <c r="J16" s="232"/>
      <c r="K16" s="232"/>
      <c r="L16" s="232"/>
      <c r="M16" s="232"/>
      <c r="N16" s="232"/>
      <c r="O16" s="232"/>
      <c r="AF16" s="419">
        <v>90000</v>
      </c>
      <c r="AG16" s="396">
        <v>22500</v>
      </c>
      <c r="AH16" s="380"/>
      <c r="AI16" s="380"/>
      <c r="AJ16" s="380"/>
      <c r="AK16" s="380"/>
      <c r="AL16" s="380"/>
      <c r="AM16" s="380"/>
      <c r="AN16" s="380"/>
      <c r="AO16" s="380"/>
    </row>
    <row r="17" spans="2:41" x14ac:dyDescent="0.25">
      <c r="B17" s="416" t="s">
        <v>466</v>
      </c>
      <c r="C17" s="420">
        <v>2.5</v>
      </c>
      <c r="D17" s="337"/>
      <c r="E17" s="792"/>
      <c r="F17" s="232"/>
      <c r="G17" s="232"/>
      <c r="H17" s="232"/>
      <c r="I17" s="232"/>
      <c r="J17" s="232"/>
      <c r="K17" s="232"/>
      <c r="L17" s="232"/>
      <c r="M17" s="232"/>
      <c r="N17" s="232"/>
      <c r="O17" s="232"/>
      <c r="AF17" s="419">
        <v>100000</v>
      </c>
      <c r="AG17" s="396">
        <v>25000</v>
      </c>
      <c r="AH17" s="380"/>
      <c r="AI17" s="380"/>
      <c r="AJ17" s="380"/>
      <c r="AK17" s="380" t="s">
        <v>458</v>
      </c>
      <c r="AL17" s="380"/>
      <c r="AM17" s="380"/>
      <c r="AN17" s="380"/>
      <c r="AO17" s="380"/>
    </row>
    <row r="18" spans="2:41" x14ac:dyDescent="0.25">
      <c r="B18" s="413" t="s">
        <v>465</v>
      </c>
      <c r="C18" s="418">
        <v>0.25</v>
      </c>
      <c r="D18" s="337"/>
      <c r="E18" s="232"/>
      <c r="F18" s="232"/>
      <c r="G18" s="232"/>
      <c r="H18" s="232"/>
      <c r="I18" s="232"/>
      <c r="J18" s="232"/>
      <c r="K18" s="232"/>
      <c r="L18" s="232"/>
      <c r="M18" s="232"/>
      <c r="N18" s="232"/>
      <c r="O18" s="232"/>
      <c r="AF18" s="396">
        <v>0</v>
      </c>
      <c r="AG18" s="396">
        <v>0</v>
      </c>
      <c r="AH18" s="380"/>
      <c r="AI18" s="380"/>
      <c r="AJ18" s="380"/>
      <c r="AK18" s="380" t="s">
        <v>433</v>
      </c>
      <c r="AL18" s="380"/>
      <c r="AM18" s="380"/>
      <c r="AN18" s="380"/>
      <c r="AO18" s="380"/>
    </row>
    <row r="19" spans="2:41" x14ac:dyDescent="0.25">
      <c r="B19" s="37"/>
      <c r="C19" s="417"/>
      <c r="D19" s="337"/>
      <c r="E19" s="232"/>
      <c r="F19" s="232"/>
      <c r="H19" s="232"/>
      <c r="I19" s="232"/>
      <c r="J19" s="232"/>
      <c r="K19" s="232"/>
      <c r="L19" s="232"/>
      <c r="M19" s="232"/>
      <c r="N19" s="232"/>
      <c r="O19" s="232"/>
      <c r="AF19" s="396"/>
      <c r="AG19" s="396"/>
      <c r="AH19" s="380"/>
      <c r="AI19" s="380"/>
      <c r="AJ19" s="380"/>
      <c r="AK19" s="380"/>
      <c r="AL19" s="380"/>
      <c r="AM19" s="380"/>
      <c r="AN19" s="380"/>
      <c r="AO19" s="380"/>
    </row>
    <row r="20" spans="2:41" ht="15.75" x14ac:dyDescent="0.25">
      <c r="B20" s="773" t="s">
        <v>464</v>
      </c>
      <c r="C20" s="774"/>
      <c r="D20" s="812" t="s">
        <v>463</v>
      </c>
      <c r="E20" s="813"/>
      <c r="F20" s="813"/>
      <c r="G20" s="232"/>
      <c r="H20" s="232"/>
      <c r="I20" s="813" t="s">
        <v>462</v>
      </c>
      <c r="J20" s="813"/>
      <c r="K20" s="813"/>
      <c r="L20" s="232"/>
      <c r="M20" s="232"/>
      <c r="N20" s="232"/>
      <c r="O20" s="232"/>
      <c r="AF20" s="396"/>
      <c r="AG20" s="396"/>
      <c r="AH20" s="380"/>
      <c r="AI20" s="380"/>
      <c r="AJ20" s="380"/>
      <c r="AK20" s="380"/>
      <c r="AL20" s="380"/>
      <c r="AM20" s="380"/>
      <c r="AN20" s="380"/>
      <c r="AO20" s="380"/>
    </row>
    <row r="21" spans="2:41" ht="15.75" x14ac:dyDescent="0.25">
      <c r="B21" s="416" t="s">
        <v>461</v>
      </c>
      <c r="C21" s="415" t="s">
        <v>460</v>
      </c>
      <c r="D21" s="337"/>
      <c r="E21" s="414"/>
      <c r="F21" s="232"/>
      <c r="G21" s="232"/>
      <c r="H21" s="232"/>
      <c r="I21" s="232"/>
      <c r="J21" s="232"/>
      <c r="K21" s="232"/>
      <c r="L21" s="232"/>
      <c r="M21" s="232"/>
      <c r="N21" s="232"/>
      <c r="O21" s="232"/>
      <c r="AF21" s="345"/>
      <c r="AG21" s="345"/>
      <c r="AH21" s="380"/>
      <c r="AI21" s="380"/>
      <c r="AJ21" s="380"/>
      <c r="AK21" s="380"/>
      <c r="AL21" s="380"/>
      <c r="AM21" s="380"/>
      <c r="AN21" s="380"/>
      <c r="AO21" s="380"/>
    </row>
    <row r="22" spans="2:41" x14ac:dyDescent="0.25">
      <c r="B22" s="413" t="s">
        <v>459</v>
      </c>
      <c r="C22" s="412" t="s">
        <v>433</v>
      </c>
      <c r="D22" s="337"/>
      <c r="E22" s="232"/>
      <c r="F22" s="232"/>
      <c r="G22" s="232"/>
      <c r="H22" s="232"/>
      <c r="I22" s="232"/>
      <c r="J22" s="232"/>
      <c r="K22" s="232"/>
      <c r="L22" s="232"/>
      <c r="M22" s="232"/>
      <c r="N22" s="232"/>
      <c r="O22" s="232"/>
      <c r="AF22" s="345"/>
      <c r="AG22" s="345"/>
      <c r="AH22" s="380"/>
      <c r="AI22" s="380"/>
      <c r="AJ22" s="380"/>
      <c r="AK22" s="380"/>
      <c r="AL22" s="380"/>
      <c r="AM22" s="380"/>
      <c r="AN22" s="380"/>
      <c r="AO22" s="380"/>
    </row>
    <row r="23" spans="2:41" ht="15.75" thickBot="1" x14ac:dyDescent="0.3">
      <c r="B23" s="343"/>
      <c r="C23" s="411"/>
      <c r="D23" s="337"/>
      <c r="E23" s="232"/>
      <c r="F23" s="232"/>
      <c r="G23" s="232"/>
      <c r="H23" s="232"/>
      <c r="I23" s="232"/>
      <c r="J23" s="232"/>
      <c r="K23" s="232"/>
      <c r="L23" s="232"/>
      <c r="M23" s="232"/>
      <c r="N23" s="232"/>
      <c r="O23" s="232"/>
      <c r="AF23" s="345"/>
      <c r="AG23" s="345"/>
      <c r="AH23" s="380"/>
      <c r="AI23" s="380"/>
      <c r="AJ23" s="380"/>
      <c r="AK23" s="380"/>
      <c r="AL23" s="380"/>
      <c r="AM23" s="380"/>
      <c r="AN23" s="380"/>
      <c r="AO23" s="380"/>
    </row>
    <row r="24" spans="2:41" ht="15.75" thickBot="1" x14ac:dyDescent="0.3">
      <c r="B24" s="343"/>
      <c r="C24" s="793" t="str">
        <f>C9</f>
        <v xml:space="preserve">Compression </v>
      </c>
      <c r="D24" s="794"/>
      <c r="E24" s="794"/>
      <c r="F24" s="794"/>
      <c r="G24" s="794"/>
      <c r="H24" s="794"/>
      <c r="I24" s="794"/>
      <c r="J24" s="794"/>
      <c r="K24" s="794"/>
      <c r="L24" s="794"/>
      <c r="M24" s="794"/>
      <c r="N24" s="795"/>
      <c r="O24" s="232"/>
      <c r="S24" s="796" t="s">
        <v>61</v>
      </c>
      <c r="T24" s="797"/>
      <c r="U24" s="797"/>
      <c r="V24" s="797"/>
      <c r="W24" s="797"/>
      <c r="X24" s="797"/>
      <c r="Y24" s="798"/>
      <c r="AF24" s="345"/>
      <c r="AG24" s="345"/>
      <c r="AH24" s="380"/>
      <c r="AI24" s="380"/>
      <c r="AJ24" s="380"/>
      <c r="AK24" s="380"/>
      <c r="AL24" s="380"/>
      <c r="AM24" s="380"/>
      <c r="AN24" s="380"/>
      <c r="AO24" s="380"/>
    </row>
    <row r="25" spans="2:41" x14ac:dyDescent="0.25">
      <c r="B25" s="232"/>
      <c r="C25" s="409" t="s">
        <v>62</v>
      </c>
      <c r="D25" s="44" t="s">
        <v>457</v>
      </c>
      <c r="E25" s="44" t="s">
        <v>457</v>
      </c>
      <c r="F25" s="44" t="s">
        <v>457</v>
      </c>
      <c r="G25" s="409" t="s">
        <v>456</v>
      </c>
      <c r="H25" s="409" t="s">
        <v>63</v>
      </c>
      <c r="I25" s="410" t="s">
        <v>455</v>
      </c>
      <c r="J25" s="410" t="s">
        <v>455</v>
      </c>
      <c r="K25" s="410" t="s">
        <v>455</v>
      </c>
      <c r="L25" s="409" t="s">
        <v>162</v>
      </c>
      <c r="M25" s="408" t="s">
        <v>454</v>
      </c>
      <c r="N25" s="407" t="s">
        <v>64</v>
      </c>
      <c r="O25" s="232"/>
      <c r="S25" s="405" t="s">
        <v>453</v>
      </c>
      <c r="T25" s="404" t="s">
        <v>63</v>
      </c>
      <c r="U25" s="404" t="s">
        <v>64</v>
      </c>
      <c r="V25" s="404" t="s">
        <v>64</v>
      </c>
      <c r="W25" s="404" t="s">
        <v>64</v>
      </c>
      <c r="X25" s="404" t="s">
        <v>452</v>
      </c>
      <c r="Y25" s="403" t="s">
        <v>451</v>
      </c>
      <c r="AF25" s="345"/>
      <c r="AG25" s="345"/>
      <c r="AH25" s="380"/>
      <c r="AI25" s="380"/>
      <c r="AJ25" s="380"/>
      <c r="AK25" s="380"/>
      <c r="AL25" s="380"/>
      <c r="AM25" s="380" t="s">
        <v>450</v>
      </c>
      <c r="AN25" s="380"/>
      <c r="AO25" s="380"/>
    </row>
    <row r="26" spans="2:41" x14ac:dyDescent="0.25">
      <c r="B26" s="232"/>
      <c r="C26" s="43" t="str">
        <f>C8</f>
        <v>lbf</v>
      </c>
      <c r="D26" s="44" t="s">
        <v>444</v>
      </c>
      <c r="E26" s="44" t="s">
        <v>449</v>
      </c>
      <c r="F26" s="44" t="s">
        <v>442</v>
      </c>
      <c r="G26" s="43" t="s">
        <v>448</v>
      </c>
      <c r="H26" s="43" t="s">
        <v>161</v>
      </c>
      <c r="I26" s="406" t="s">
        <v>444</v>
      </c>
      <c r="J26" s="406" t="s">
        <v>443</v>
      </c>
      <c r="K26" s="406" t="s">
        <v>447</v>
      </c>
      <c r="L26" s="400" t="s">
        <v>161</v>
      </c>
      <c r="M26" s="400" t="s">
        <v>161</v>
      </c>
      <c r="N26" s="400" t="s">
        <v>161</v>
      </c>
      <c r="O26" s="232"/>
      <c r="S26" s="405" t="s">
        <v>446</v>
      </c>
      <c r="T26" s="404" t="s">
        <v>445</v>
      </c>
      <c r="U26" s="404" t="s">
        <v>444</v>
      </c>
      <c r="V26" s="404" t="s">
        <v>443</v>
      </c>
      <c r="W26" s="404" t="s">
        <v>442</v>
      </c>
      <c r="X26" s="404" t="s">
        <v>441</v>
      </c>
      <c r="Y26" s="403" t="s">
        <v>440</v>
      </c>
      <c r="AF26" s="396" t="s">
        <v>439</v>
      </c>
      <c r="AG26" s="396" t="s">
        <v>438</v>
      </c>
      <c r="AH26" s="395" t="s">
        <v>437</v>
      </c>
      <c r="AI26" s="380"/>
      <c r="AJ26" s="395" t="s">
        <v>436</v>
      </c>
      <c r="AK26" s="395" t="s">
        <v>432</v>
      </c>
      <c r="AL26" s="380"/>
      <c r="AM26" s="380"/>
      <c r="AN26" s="380"/>
      <c r="AO26" s="380"/>
    </row>
    <row r="27" spans="2:41" x14ac:dyDescent="0.25">
      <c r="B27" s="394" t="s">
        <v>70</v>
      </c>
      <c r="C27" s="43" t="s">
        <v>71</v>
      </c>
      <c r="D27" s="402"/>
      <c r="E27" s="402"/>
      <c r="F27" s="402"/>
      <c r="G27" s="43" t="str">
        <f>C8</f>
        <v>lbf</v>
      </c>
      <c r="H27" s="43" t="s">
        <v>435</v>
      </c>
      <c r="I27" s="390">
        <v>0</v>
      </c>
      <c r="J27" s="390">
        <v>0</v>
      </c>
      <c r="K27" s="390">
        <v>0</v>
      </c>
      <c r="L27" s="401"/>
      <c r="M27" s="401"/>
      <c r="N27" s="400" t="s">
        <v>434</v>
      </c>
      <c r="O27" s="232"/>
      <c r="S27" s="399"/>
      <c r="T27" s="398"/>
      <c r="U27" s="398">
        <f>I27</f>
        <v>0</v>
      </c>
      <c r="V27" s="398">
        <f>J27</f>
        <v>0</v>
      </c>
      <c r="W27" s="398">
        <f>K27</f>
        <v>0</v>
      </c>
      <c r="X27" s="398"/>
      <c r="Y27" s="397" t="s">
        <v>433</v>
      </c>
      <c r="AF27" s="396">
        <f t="shared" ref="AF27:AF37" si="0">($C$16*C28)/2</f>
        <v>8.0000000000000002E-3</v>
      </c>
      <c r="AG27" s="396">
        <f t="shared" ref="AG27:AG37" si="1">$C$17/2.4</f>
        <v>1.0416666666666667</v>
      </c>
      <c r="AH27" s="395">
        <f t="shared" ref="AH27:AH37" si="2">$C$18/(SQRT(12))</f>
        <v>7.216878364870323E-2</v>
      </c>
      <c r="AI27" s="380"/>
      <c r="AJ27" s="380">
        <f t="shared" ref="AJ27:AJ37" si="3">C28/T28</f>
        <v>14157.285874624646</v>
      </c>
      <c r="AK27" s="380">
        <f t="shared" ref="AK27:AK37" si="4">C28/S28</f>
        <v>12499.479188367151</v>
      </c>
      <c r="AL27" s="380"/>
      <c r="AM27" s="380">
        <v>0</v>
      </c>
      <c r="AN27" s="380">
        <v>1</v>
      </c>
      <c r="AO27" s="380">
        <v>-1</v>
      </c>
    </row>
    <row r="28" spans="2:41" x14ac:dyDescent="0.25">
      <c r="B28" s="394">
        <v>1</v>
      </c>
      <c r="C28" s="150">
        <v>1000</v>
      </c>
      <c r="D28" s="390">
        <v>0.08</v>
      </c>
      <c r="E28" s="390">
        <v>8.0009999999999998E-2</v>
      </c>
      <c r="F28" s="390">
        <v>0.08</v>
      </c>
      <c r="G28" s="393">
        <f t="shared" ref="G28:G38" si="5">_xlfn.STDEV.P(D28:F28)*AJ27</f>
        <v>6.6738085634264852E-2</v>
      </c>
      <c r="H28" s="392">
        <f t="shared" ref="H28:H38" si="6">2 * SQRT(SUMSQ(AF27,AG27,AH27))</f>
        <v>2.0883886398635458</v>
      </c>
      <c r="I28" s="390">
        <v>8.0009999999999998E-2</v>
      </c>
      <c r="J28" s="390">
        <v>0.08</v>
      </c>
      <c r="K28" s="390">
        <v>0.08</v>
      </c>
      <c r="L28" s="391">
        <f t="shared" ref="L28:L38" si="7">$C$13</f>
        <v>1E-4</v>
      </c>
      <c r="M28" s="390">
        <v>3</v>
      </c>
      <c r="N28" s="389">
        <f t="shared" ref="N28:N38" si="8">IF($D$12="Percentage",C28*L28,M28)</f>
        <v>0.1</v>
      </c>
      <c r="O28" s="232"/>
      <c r="S28" s="388">
        <f t="shared" ref="S28:S38" si="9">AVERAGE(D28:F28)</f>
        <v>8.0003333333333329E-2</v>
      </c>
      <c r="T28" s="387">
        <f t="shared" ref="T28:T38" si="10">IF($Y$27="3rd",$T$44+($T$45*C28)+($T$46*C28^2)+($T$47*C28^3),$T$50+($T$51*C28)+($T$52*C28^2))</f>
        <v>7.0635007928489202E-2</v>
      </c>
      <c r="U28" s="387">
        <f t="shared" ref="U28:U38" si="11">(I28-$U$27)-($U$39*($B28/$B$38))</f>
        <v>8.0009999999999998E-2</v>
      </c>
      <c r="V28" s="387">
        <f t="shared" ref="V28:V38" si="12">(J28-$V$27)-($V$39*($B28/$B$38))</f>
        <v>0.08</v>
      </c>
      <c r="W28" s="387">
        <f t="shared" ref="W28:W38" si="13">(K28-$W$27)-($W$39*($B28/$B$38))</f>
        <v>0.08</v>
      </c>
      <c r="X28" s="387">
        <f t="shared" ref="X28:X38" si="14">AVERAGE(U28:W28)</f>
        <v>8.0003333333333329E-2</v>
      </c>
      <c r="Y28" s="386">
        <f t="shared" ref="Y28:Y38" si="15">IF($Y$27="3rd",$W$44+($W$45*C28)+($W$46*C28^2)+($W$47*C28^3),$W$50+($W$51*C28)+($W$52*C28^2))</f>
        <v>7.0637392411494235E-2</v>
      </c>
      <c r="AF28" s="396">
        <f t="shared" si="0"/>
        <v>0.08</v>
      </c>
      <c r="AG28" s="396">
        <f t="shared" si="1"/>
        <v>1.0416666666666667</v>
      </c>
      <c r="AH28" s="395">
        <f t="shared" si="2"/>
        <v>7.216878364870323E-2</v>
      </c>
      <c r="AI28" s="380"/>
      <c r="AJ28" s="380">
        <f t="shared" si="3"/>
        <v>24146.204441203547</v>
      </c>
      <c r="AK28" s="380">
        <f t="shared" si="4"/>
        <v>24999.583340277666</v>
      </c>
      <c r="AL28" s="380"/>
      <c r="AM28" s="380">
        <v>0</v>
      </c>
      <c r="AN28" s="380">
        <v>1</v>
      </c>
      <c r="AO28" s="380">
        <v>-1</v>
      </c>
    </row>
    <row r="29" spans="2:41" x14ac:dyDescent="0.25">
      <c r="B29" s="394">
        <v>2</v>
      </c>
      <c r="C29" s="150">
        <f t="shared" ref="C29:C38" si="16">IF($C$7="100K",AF8,AG8)</f>
        <v>10000</v>
      </c>
      <c r="D29" s="390">
        <v>0.4</v>
      </c>
      <c r="E29" s="390">
        <v>0.40001999999999999</v>
      </c>
      <c r="F29" s="390">
        <v>0.4</v>
      </c>
      <c r="G29" s="393">
        <f t="shared" si="5"/>
        <v>0.22765259867015258</v>
      </c>
      <c r="H29" s="392">
        <f t="shared" si="6"/>
        <v>2.0944476864106947</v>
      </c>
      <c r="I29" s="390">
        <v>0.40000999999999998</v>
      </c>
      <c r="J29" s="390">
        <v>0.4</v>
      </c>
      <c r="K29" s="390">
        <v>0.4</v>
      </c>
      <c r="L29" s="391">
        <f t="shared" si="7"/>
        <v>1E-4</v>
      </c>
      <c r="M29" s="390">
        <v>4</v>
      </c>
      <c r="N29" s="389">
        <f t="shared" si="8"/>
        <v>1</v>
      </c>
      <c r="O29" s="232"/>
      <c r="S29" s="388">
        <f t="shared" si="9"/>
        <v>0.40000666666666662</v>
      </c>
      <c r="T29" s="387">
        <f t="shared" si="10"/>
        <v>0.41414376426531901</v>
      </c>
      <c r="U29" s="387">
        <f t="shared" si="11"/>
        <v>0.40000999999999998</v>
      </c>
      <c r="V29" s="387">
        <f t="shared" si="12"/>
        <v>0.4</v>
      </c>
      <c r="W29" s="387">
        <f t="shared" si="13"/>
        <v>0.4</v>
      </c>
      <c r="X29" s="387">
        <f t="shared" si="14"/>
        <v>0.40000333333333332</v>
      </c>
      <c r="Y29" s="386">
        <f t="shared" si="15"/>
        <v>0.41414110774704388</v>
      </c>
      <c r="AF29" s="396">
        <f t="shared" si="0"/>
        <v>0.16</v>
      </c>
      <c r="AG29" s="396">
        <f t="shared" si="1"/>
        <v>1.0416666666666667</v>
      </c>
      <c r="AH29" s="395">
        <f t="shared" si="2"/>
        <v>7.216878364870323E-2</v>
      </c>
      <c r="AI29" s="380"/>
      <c r="AJ29" s="380">
        <f t="shared" si="3"/>
        <v>24919.790072602595</v>
      </c>
      <c r="AK29" s="380">
        <f t="shared" si="4"/>
        <v>24999.895833767361</v>
      </c>
      <c r="AL29" s="380"/>
      <c r="AM29" s="380">
        <v>0</v>
      </c>
      <c r="AN29" s="380">
        <v>1</v>
      </c>
      <c r="AO29" s="380">
        <v>-1</v>
      </c>
    </row>
    <row r="30" spans="2:41" x14ac:dyDescent="0.25">
      <c r="B30" s="394">
        <v>3</v>
      </c>
      <c r="C30" s="150">
        <f t="shared" si="16"/>
        <v>20000</v>
      </c>
      <c r="D30" s="390">
        <v>0.8</v>
      </c>
      <c r="E30" s="390">
        <v>0.80001</v>
      </c>
      <c r="F30" s="390">
        <v>0.8</v>
      </c>
      <c r="G30" s="393">
        <f t="shared" si="5"/>
        <v>0.11747301697334871</v>
      </c>
      <c r="H30" s="392">
        <f t="shared" si="6"/>
        <v>2.1127023243020093</v>
      </c>
      <c r="I30" s="390">
        <v>0.80001</v>
      </c>
      <c r="J30" s="390">
        <v>0.8</v>
      </c>
      <c r="K30" s="390">
        <v>0.8</v>
      </c>
      <c r="L30" s="391">
        <f t="shared" si="7"/>
        <v>1E-4</v>
      </c>
      <c r="M30" s="390">
        <v>5</v>
      </c>
      <c r="N30" s="389">
        <f t="shared" si="8"/>
        <v>2</v>
      </c>
      <c r="O30" s="232"/>
      <c r="S30" s="388">
        <f t="shared" si="9"/>
        <v>0.80000333333333329</v>
      </c>
      <c r="T30" s="387">
        <f t="shared" si="10"/>
        <v>0.8025749792326089</v>
      </c>
      <c r="U30" s="387">
        <f t="shared" si="11"/>
        <v>0.80001</v>
      </c>
      <c r="V30" s="387">
        <f t="shared" si="12"/>
        <v>0.8</v>
      </c>
      <c r="W30" s="387">
        <f t="shared" si="13"/>
        <v>0.8</v>
      </c>
      <c r="X30" s="387">
        <f t="shared" si="14"/>
        <v>0.80000333333333329</v>
      </c>
      <c r="Y30" s="386">
        <f t="shared" si="15"/>
        <v>0.8025708998726957</v>
      </c>
      <c r="AF30" s="396">
        <f t="shared" si="0"/>
        <v>0.24</v>
      </c>
      <c r="AG30" s="396">
        <f t="shared" si="1"/>
        <v>1.0416666666666667</v>
      </c>
      <c r="AH30" s="395">
        <f t="shared" si="2"/>
        <v>7.216878364870323E-2</v>
      </c>
      <c r="AI30" s="380"/>
      <c r="AJ30" s="380">
        <f t="shared" si="3"/>
        <v>25068.137167787827</v>
      </c>
      <c r="AK30" s="380">
        <f t="shared" si="4"/>
        <v>24999.930555748455</v>
      </c>
      <c r="AL30" s="380"/>
      <c r="AM30" s="380">
        <v>0</v>
      </c>
      <c r="AN30" s="380">
        <v>1</v>
      </c>
      <c r="AO30" s="380">
        <v>-1</v>
      </c>
    </row>
    <row r="31" spans="2:41" x14ac:dyDescent="0.25">
      <c r="B31" s="394">
        <v>4</v>
      </c>
      <c r="C31" s="150">
        <f t="shared" si="16"/>
        <v>30000</v>
      </c>
      <c r="D31" s="390">
        <v>1.2</v>
      </c>
      <c r="E31" s="390">
        <v>1.20001</v>
      </c>
      <c r="F31" s="390">
        <v>1.2</v>
      </c>
      <c r="G31" s="393">
        <f t="shared" si="5"/>
        <v>0.11817233188782288</v>
      </c>
      <c r="H31" s="392">
        <f t="shared" si="6"/>
        <v>2.1427811626741335</v>
      </c>
      <c r="I31" s="390">
        <v>1.20001</v>
      </c>
      <c r="J31" s="390">
        <v>1.2</v>
      </c>
      <c r="K31" s="390">
        <v>1.2</v>
      </c>
      <c r="L31" s="391">
        <f t="shared" si="7"/>
        <v>1E-4</v>
      </c>
      <c r="M31" s="390">
        <v>6</v>
      </c>
      <c r="N31" s="389">
        <f t="shared" si="8"/>
        <v>3</v>
      </c>
      <c r="O31" s="232"/>
      <c r="S31" s="388">
        <f t="shared" si="9"/>
        <v>1.2000033333333333</v>
      </c>
      <c r="T31" s="387">
        <f t="shared" si="10"/>
        <v>1.1967383056507901</v>
      </c>
      <c r="U31" s="387">
        <f t="shared" si="11"/>
        <v>1.20001</v>
      </c>
      <c r="V31" s="387">
        <f t="shared" si="12"/>
        <v>1.2</v>
      </c>
      <c r="W31" s="387">
        <f t="shared" si="13"/>
        <v>1.2</v>
      </c>
      <c r="X31" s="387">
        <f t="shared" si="14"/>
        <v>1.2000033333333333</v>
      </c>
      <c r="Y31" s="386">
        <f t="shared" si="15"/>
        <v>1.1967364220499819</v>
      </c>
      <c r="AF31" s="396">
        <f t="shared" si="0"/>
        <v>0.32</v>
      </c>
      <c r="AG31" s="396">
        <f t="shared" si="1"/>
        <v>1.0416666666666667</v>
      </c>
      <c r="AH31" s="395">
        <f t="shared" si="2"/>
        <v>7.216878364870323E-2</v>
      </c>
      <c r="AI31" s="380"/>
      <c r="AJ31" s="380">
        <f t="shared" si="3"/>
        <v>25075.10001602077</v>
      </c>
      <c r="AK31" s="380">
        <f t="shared" si="4"/>
        <v>25000.052083441838</v>
      </c>
      <c r="AL31" s="380"/>
      <c r="AM31" s="380">
        <v>0</v>
      </c>
      <c r="AN31" s="380">
        <v>1</v>
      </c>
      <c r="AO31" s="380">
        <v>-1</v>
      </c>
    </row>
    <row r="32" spans="2:41" x14ac:dyDescent="0.25">
      <c r="B32" s="394">
        <v>5</v>
      </c>
      <c r="C32" s="150">
        <f t="shared" si="16"/>
        <v>40000</v>
      </c>
      <c r="D32" s="390">
        <v>1.6</v>
      </c>
      <c r="E32" s="390">
        <v>1.59999</v>
      </c>
      <c r="F32" s="390">
        <v>1.6</v>
      </c>
      <c r="G32" s="393">
        <f t="shared" si="5"/>
        <v>0.11820515506916901</v>
      </c>
      <c r="H32" s="392">
        <f t="shared" si="6"/>
        <v>2.1841957584225624</v>
      </c>
      <c r="I32" s="390">
        <v>1.6000099999999999</v>
      </c>
      <c r="J32" s="390">
        <v>1.6</v>
      </c>
      <c r="K32" s="390">
        <v>1.6</v>
      </c>
      <c r="L32" s="391">
        <f t="shared" si="7"/>
        <v>1E-4</v>
      </c>
      <c r="M32" s="390">
        <v>7</v>
      </c>
      <c r="N32" s="389">
        <f t="shared" si="8"/>
        <v>4</v>
      </c>
      <c r="O32" s="232"/>
      <c r="S32" s="388">
        <f t="shared" si="9"/>
        <v>1.5999966666666667</v>
      </c>
      <c r="T32" s="387">
        <f t="shared" si="10"/>
        <v>1.5952079941632751</v>
      </c>
      <c r="U32" s="387">
        <f t="shared" si="11"/>
        <v>1.6000099999999999</v>
      </c>
      <c r="V32" s="387">
        <f t="shared" si="12"/>
        <v>1.6</v>
      </c>
      <c r="W32" s="387">
        <f t="shared" si="13"/>
        <v>1.6</v>
      </c>
      <c r="X32" s="387">
        <f t="shared" si="14"/>
        <v>1.6000033333333334</v>
      </c>
      <c r="Y32" s="386">
        <f t="shared" si="15"/>
        <v>1.5952111184611293</v>
      </c>
      <c r="AF32" s="396">
        <f t="shared" si="0"/>
        <v>0.39999999999999997</v>
      </c>
      <c r="AG32" s="396">
        <f t="shared" si="1"/>
        <v>1.0416666666666667</v>
      </c>
      <c r="AH32" s="395">
        <f t="shared" si="2"/>
        <v>7.216878364870323E-2</v>
      </c>
      <c r="AI32" s="380"/>
      <c r="AJ32" s="380">
        <f t="shared" si="3"/>
        <v>25043.09546826694</v>
      </c>
      <c r="AK32" s="380">
        <f t="shared" si="4"/>
        <v>25000.083333611114</v>
      </c>
      <c r="AL32" s="380"/>
      <c r="AM32" s="380">
        <v>0</v>
      </c>
      <c r="AN32" s="380">
        <v>1</v>
      </c>
      <c r="AO32" s="380">
        <v>-1</v>
      </c>
    </row>
    <row r="33" spans="2:41" x14ac:dyDescent="0.25">
      <c r="B33" s="394">
        <v>6</v>
      </c>
      <c r="C33" s="150">
        <f t="shared" si="16"/>
        <v>50000</v>
      </c>
      <c r="D33" s="390">
        <v>2</v>
      </c>
      <c r="E33" s="390">
        <v>1.9999800000000001</v>
      </c>
      <c r="F33" s="390">
        <v>2</v>
      </c>
      <c r="G33" s="393">
        <f t="shared" si="5"/>
        <v>0.2361085683657741</v>
      </c>
      <c r="H33" s="392">
        <f t="shared" si="6"/>
        <v>2.2363164156959345</v>
      </c>
      <c r="I33" s="390">
        <v>2.0000100000000001</v>
      </c>
      <c r="J33" s="390">
        <v>2</v>
      </c>
      <c r="K33" s="390">
        <v>2</v>
      </c>
      <c r="L33" s="391">
        <f t="shared" si="7"/>
        <v>1E-4</v>
      </c>
      <c r="M33" s="390">
        <v>8</v>
      </c>
      <c r="N33" s="389">
        <f t="shared" si="8"/>
        <v>5</v>
      </c>
      <c r="O33" s="232"/>
      <c r="S33" s="388">
        <f t="shared" si="9"/>
        <v>1.9999933333333333</v>
      </c>
      <c r="T33" s="387">
        <f t="shared" si="10"/>
        <v>1.9965582954134766</v>
      </c>
      <c r="U33" s="387">
        <f t="shared" si="11"/>
        <v>2.0000100000000001</v>
      </c>
      <c r="V33" s="387">
        <f t="shared" si="12"/>
        <v>2</v>
      </c>
      <c r="W33" s="387">
        <f t="shared" si="13"/>
        <v>2</v>
      </c>
      <c r="X33" s="387">
        <f t="shared" si="14"/>
        <v>2.0000033333333334</v>
      </c>
      <c r="Y33" s="386">
        <f t="shared" si="15"/>
        <v>1.9965684332883644</v>
      </c>
      <c r="AF33" s="396">
        <f t="shared" si="0"/>
        <v>0.48</v>
      </c>
      <c r="AG33" s="396">
        <f t="shared" si="1"/>
        <v>1.0416666666666667</v>
      </c>
      <c r="AH33" s="395">
        <f t="shared" si="2"/>
        <v>7.216878364870323E-2</v>
      </c>
      <c r="AI33" s="380"/>
      <c r="AJ33" s="380">
        <f t="shared" si="3"/>
        <v>25006.632383607077</v>
      </c>
      <c r="AK33" s="380">
        <f t="shared" si="4"/>
        <v>25000.104167100693</v>
      </c>
      <c r="AL33" s="380"/>
      <c r="AM33" s="380">
        <v>0</v>
      </c>
      <c r="AN33" s="380">
        <v>1</v>
      </c>
      <c r="AO33" s="380">
        <v>-1</v>
      </c>
    </row>
    <row r="34" spans="2:41" x14ac:dyDescent="0.25">
      <c r="B34" s="394">
        <v>7</v>
      </c>
      <c r="C34" s="150">
        <f t="shared" si="16"/>
        <v>60000</v>
      </c>
      <c r="D34" s="390">
        <v>2.4</v>
      </c>
      <c r="E34" s="390">
        <v>2.3999700000000002</v>
      </c>
      <c r="F34" s="390">
        <v>2.4</v>
      </c>
      <c r="G34" s="393">
        <f t="shared" si="5"/>
        <v>0.35364718665883543</v>
      </c>
      <c r="H34" s="392">
        <f t="shared" si="6"/>
        <v>2.2984149127411944</v>
      </c>
      <c r="I34" s="390">
        <v>2.40001</v>
      </c>
      <c r="J34" s="390">
        <v>2.4</v>
      </c>
      <c r="K34" s="390">
        <v>2.4</v>
      </c>
      <c r="L34" s="391">
        <f t="shared" si="7"/>
        <v>1E-4</v>
      </c>
      <c r="M34" s="390">
        <v>9</v>
      </c>
      <c r="N34" s="389">
        <f t="shared" si="8"/>
        <v>6</v>
      </c>
      <c r="O34" s="232"/>
      <c r="S34" s="388">
        <f t="shared" si="9"/>
        <v>2.3999900000000003</v>
      </c>
      <c r="T34" s="387">
        <f t="shared" si="10"/>
        <v>2.3993634600448073</v>
      </c>
      <c r="U34" s="387">
        <f t="shared" si="11"/>
        <v>2.40001</v>
      </c>
      <c r="V34" s="387">
        <f t="shared" si="12"/>
        <v>2.4</v>
      </c>
      <c r="W34" s="387">
        <f t="shared" si="13"/>
        <v>2.4</v>
      </c>
      <c r="X34" s="387">
        <f t="shared" si="14"/>
        <v>2.4000033333333337</v>
      </c>
      <c r="Y34" s="386">
        <f t="shared" si="15"/>
        <v>2.3993818107139142</v>
      </c>
      <c r="AF34" s="396">
        <f t="shared" si="0"/>
        <v>0.55999999999999994</v>
      </c>
      <c r="AG34" s="396">
        <f t="shared" si="1"/>
        <v>1.0416666666666667</v>
      </c>
      <c r="AH34" s="395">
        <f t="shared" si="2"/>
        <v>7.216878364870323E-2</v>
      </c>
      <c r="AI34" s="380"/>
      <c r="AJ34" s="380">
        <f t="shared" si="3"/>
        <v>24980.39272291238</v>
      </c>
      <c r="AK34" s="380">
        <f t="shared" si="4"/>
        <v>25000.119048185941</v>
      </c>
      <c r="AL34" s="380"/>
      <c r="AM34" s="380">
        <v>0</v>
      </c>
      <c r="AN34" s="380">
        <v>1</v>
      </c>
      <c r="AO34" s="380">
        <v>-1</v>
      </c>
    </row>
    <row r="35" spans="2:41" x14ac:dyDescent="0.25">
      <c r="B35" s="394">
        <v>8</v>
      </c>
      <c r="C35" s="150">
        <f t="shared" si="16"/>
        <v>70000</v>
      </c>
      <c r="D35" s="390">
        <v>2.8</v>
      </c>
      <c r="E35" s="390">
        <v>2.79996</v>
      </c>
      <c r="F35" s="390">
        <v>2.8</v>
      </c>
      <c r="G35" s="393">
        <f t="shared" si="5"/>
        <v>0.47103480242650764</v>
      </c>
      <c r="H35" s="392">
        <f t="shared" si="6"/>
        <v>2.3697069673508393</v>
      </c>
      <c r="I35" s="390">
        <v>2.8000099999999999</v>
      </c>
      <c r="J35" s="390">
        <v>2.8</v>
      </c>
      <c r="K35" s="390">
        <v>2.8</v>
      </c>
      <c r="L35" s="391">
        <f t="shared" si="7"/>
        <v>1E-4</v>
      </c>
      <c r="M35" s="390">
        <v>10</v>
      </c>
      <c r="N35" s="389">
        <f t="shared" si="8"/>
        <v>7</v>
      </c>
      <c r="O35" s="232"/>
      <c r="S35" s="388">
        <f t="shared" si="9"/>
        <v>2.7999866666666668</v>
      </c>
      <c r="T35" s="387">
        <f t="shared" si="10"/>
        <v>2.8021977387006802</v>
      </c>
      <c r="U35" s="387">
        <f t="shared" si="11"/>
        <v>2.8000099999999999</v>
      </c>
      <c r="V35" s="387">
        <f t="shared" si="12"/>
        <v>2.8</v>
      </c>
      <c r="W35" s="387">
        <f t="shared" si="13"/>
        <v>2.8</v>
      </c>
      <c r="X35" s="387">
        <f t="shared" si="14"/>
        <v>2.8000033333333327</v>
      </c>
      <c r="Y35" s="386">
        <f t="shared" si="15"/>
        <v>2.8022246949200049</v>
      </c>
      <c r="AF35" s="396">
        <f t="shared" si="0"/>
        <v>0.64</v>
      </c>
      <c r="AG35" s="396">
        <f t="shared" si="1"/>
        <v>1.0416666666666667</v>
      </c>
      <c r="AH35" s="395">
        <f t="shared" si="2"/>
        <v>7.216878364870323E-2</v>
      </c>
      <c r="AI35" s="380"/>
      <c r="AJ35" s="380">
        <f t="shared" si="3"/>
        <v>24971.630806950554</v>
      </c>
      <c r="AK35" s="380">
        <f t="shared" si="4"/>
        <v>25000.130209011506</v>
      </c>
      <c r="AL35" s="380"/>
      <c r="AM35" s="380">
        <v>0</v>
      </c>
      <c r="AN35" s="380">
        <v>1</v>
      </c>
      <c r="AO35" s="380">
        <v>-1</v>
      </c>
    </row>
    <row r="36" spans="2:41" x14ac:dyDescent="0.25">
      <c r="B36" s="394">
        <v>9</v>
      </c>
      <c r="C36" s="150">
        <f t="shared" si="16"/>
        <v>80000</v>
      </c>
      <c r="D36" s="390">
        <v>3.2</v>
      </c>
      <c r="E36" s="390">
        <v>3.1999499999999999</v>
      </c>
      <c r="F36" s="390">
        <v>3.2</v>
      </c>
      <c r="G36" s="393">
        <f t="shared" si="5"/>
        <v>0.5885869826999105</v>
      </c>
      <c r="H36" s="392">
        <f t="shared" si="6"/>
        <v>2.4493899467236964</v>
      </c>
      <c r="I36" s="390">
        <v>3.2000099999999998</v>
      </c>
      <c r="J36" s="390">
        <v>3.2</v>
      </c>
      <c r="K36" s="390">
        <v>3.2</v>
      </c>
      <c r="L36" s="391">
        <f t="shared" si="7"/>
        <v>1E-4</v>
      </c>
      <c r="M36" s="390">
        <v>11</v>
      </c>
      <c r="N36" s="389">
        <f t="shared" si="8"/>
        <v>8</v>
      </c>
      <c r="O36" s="232"/>
      <c r="S36" s="388">
        <f t="shared" si="9"/>
        <v>3.1999833333333334</v>
      </c>
      <c r="T36" s="387">
        <f t="shared" si="10"/>
        <v>3.2036353820245074</v>
      </c>
      <c r="U36" s="387">
        <f t="shared" si="11"/>
        <v>3.2000099999999998</v>
      </c>
      <c r="V36" s="387">
        <f t="shared" si="12"/>
        <v>3.2</v>
      </c>
      <c r="W36" s="387">
        <f t="shared" si="13"/>
        <v>3.2</v>
      </c>
      <c r="X36" s="387">
        <f t="shared" si="14"/>
        <v>3.2000033333333335</v>
      </c>
      <c r="Y36" s="386">
        <f t="shared" si="15"/>
        <v>3.2036705300888637</v>
      </c>
      <c r="AF36" s="396">
        <f t="shared" si="0"/>
        <v>0.72</v>
      </c>
      <c r="AG36" s="396">
        <f t="shared" si="1"/>
        <v>1.0416666666666667</v>
      </c>
      <c r="AH36" s="395">
        <f t="shared" si="2"/>
        <v>7.216878364870323E-2</v>
      </c>
      <c r="AI36" s="380"/>
      <c r="AJ36" s="380">
        <f t="shared" si="3"/>
        <v>24984.380316056449</v>
      </c>
      <c r="AK36" s="380">
        <f t="shared" si="4"/>
        <v>25000.138889660499</v>
      </c>
      <c r="AL36" s="380"/>
      <c r="AM36" s="380">
        <v>0</v>
      </c>
      <c r="AN36" s="380">
        <v>1</v>
      </c>
      <c r="AO36" s="380">
        <v>-1</v>
      </c>
    </row>
    <row r="37" spans="2:41" x14ac:dyDescent="0.25">
      <c r="B37" s="394">
        <v>10</v>
      </c>
      <c r="C37" s="150">
        <f t="shared" si="16"/>
        <v>90000</v>
      </c>
      <c r="D37" s="390">
        <v>3.6</v>
      </c>
      <c r="E37" s="390">
        <v>3.5999400000000001</v>
      </c>
      <c r="F37" s="390">
        <v>3.6</v>
      </c>
      <c r="G37" s="393">
        <f t="shared" si="5"/>
        <v>0.70666498980848758</v>
      </c>
      <c r="H37" s="392">
        <f t="shared" si="6"/>
        <v>2.5366732369603917</v>
      </c>
      <c r="I37" s="390">
        <v>3.6000999999999999</v>
      </c>
      <c r="J37" s="390">
        <v>3.6000999999999999</v>
      </c>
      <c r="K37" s="390">
        <v>3.6</v>
      </c>
      <c r="L37" s="391">
        <f t="shared" si="7"/>
        <v>1E-4</v>
      </c>
      <c r="M37" s="390">
        <v>12</v>
      </c>
      <c r="N37" s="389">
        <f t="shared" si="8"/>
        <v>9</v>
      </c>
      <c r="O37" s="232"/>
      <c r="S37" s="388">
        <f t="shared" si="9"/>
        <v>3.59998</v>
      </c>
      <c r="T37" s="387">
        <f t="shared" si="10"/>
        <v>3.6022506406597024</v>
      </c>
      <c r="U37" s="387">
        <f t="shared" si="11"/>
        <v>3.6000999999999999</v>
      </c>
      <c r="V37" s="387">
        <f t="shared" si="12"/>
        <v>3.6000999999999999</v>
      </c>
      <c r="W37" s="387">
        <f t="shared" si="13"/>
        <v>3.6</v>
      </c>
      <c r="X37" s="387">
        <f t="shared" si="14"/>
        <v>3.6000666666666667</v>
      </c>
      <c r="Y37" s="386">
        <f t="shared" si="15"/>
        <v>3.6022927604027171</v>
      </c>
      <c r="AF37" s="396">
        <f t="shared" si="0"/>
        <v>0.79999999999999993</v>
      </c>
      <c r="AG37" s="396">
        <f t="shared" si="1"/>
        <v>1.0416666666666667</v>
      </c>
      <c r="AH37" s="395">
        <f t="shared" si="2"/>
        <v>7.216878364870323E-2</v>
      </c>
      <c r="AI37" s="380"/>
      <c r="AJ37" s="380">
        <f t="shared" si="3"/>
        <v>25021.156856553378</v>
      </c>
      <c r="AK37" s="380">
        <f t="shared" si="4"/>
        <v>25000.145834184033</v>
      </c>
      <c r="AL37" s="380"/>
      <c r="AM37" s="380">
        <v>0</v>
      </c>
      <c r="AN37" s="380">
        <v>1</v>
      </c>
      <c r="AO37" s="380">
        <v>-1</v>
      </c>
    </row>
    <row r="38" spans="2:41" x14ac:dyDescent="0.25">
      <c r="B38" s="394">
        <v>11</v>
      </c>
      <c r="C38" s="150">
        <f t="shared" si="16"/>
        <v>100000</v>
      </c>
      <c r="D38" s="390">
        <v>4</v>
      </c>
      <c r="E38" s="390">
        <v>3.99993</v>
      </c>
      <c r="F38" s="385">
        <v>4</v>
      </c>
      <c r="G38" s="393">
        <f t="shared" si="5"/>
        <v>0.8256560520322257</v>
      </c>
      <c r="H38" s="392">
        <f t="shared" si="6"/>
        <v>2.6308004696500857</v>
      </c>
      <c r="I38" s="390">
        <v>4.0000099999999996</v>
      </c>
      <c r="J38" s="385">
        <v>4</v>
      </c>
      <c r="K38" s="385">
        <v>4</v>
      </c>
      <c r="L38" s="391">
        <f t="shared" si="7"/>
        <v>1E-4</v>
      </c>
      <c r="M38" s="390">
        <v>13</v>
      </c>
      <c r="N38" s="389">
        <f t="shared" si="8"/>
        <v>10</v>
      </c>
      <c r="O38" s="232"/>
      <c r="S38" s="388">
        <f t="shared" si="9"/>
        <v>3.9999766666666665</v>
      </c>
      <c r="T38" s="387">
        <f t="shared" si="10"/>
        <v>3.996617765249677</v>
      </c>
      <c r="U38" s="387">
        <f t="shared" si="11"/>
        <v>4.0000099999999996</v>
      </c>
      <c r="V38" s="387">
        <f t="shared" si="12"/>
        <v>4</v>
      </c>
      <c r="W38" s="387">
        <f t="shared" si="13"/>
        <v>4</v>
      </c>
      <c r="X38" s="387">
        <f t="shared" si="14"/>
        <v>4.0000033333333329</v>
      </c>
      <c r="Y38" s="386">
        <f t="shared" si="15"/>
        <v>3.9966648300437924</v>
      </c>
      <c r="AF38" s="345"/>
      <c r="AG38" s="345"/>
      <c r="AH38" s="380"/>
      <c r="AI38" s="380"/>
      <c r="AJ38" s="380"/>
      <c r="AK38" s="380"/>
      <c r="AL38" s="380"/>
      <c r="AM38" s="380"/>
      <c r="AN38" s="380"/>
      <c r="AO38" s="380"/>
    </row>
    <row r="39" spans="2:41" ht="15.75" thickBot="1" x14ac:dyDescent="0.3">
      <c r="B39" s="232"/>
      <c r="C39" s="43" t="s">
        <v>72</v>
      </c>
      <c r="D39" s="43"/>
      <c r="E39" s="43"/>
      <c r="F39" s="43"/>
      <c r="G39" s="43"/>
      <c r="H39" s="43"/>
      <c r="I39" s="385">
        <v>0</v>
      </c>
      <c r="J39" s="385">
        <v>0</v>
      </c>
      <c r="K39" s="385">
        <v>0</v>
      </c>
      <c r="L39" s="43"/>
      <c r="M39" s="43"/>
      <c r="N39" s="384"/>
      <c r="O39" s="232"/>
      <c r="S39" s="383"/>
      <c r="T39" s="382"/>
      <c r="U39" s="382">
        <f>I39</f>
        <v>0</v>
      </c>
      <c r="V39" s="382">
        <f>J39</f>
        <v>0</v>
      </c>
      <c r="W39" s="382">
        <f>K39</f>
        <v>0</v>
      </c>
      <c r="X39" s="382"/>
      <c r="Y39" s="381"/>
      <c r="AF39" s="345"/>
      <c r="AG39" s="345"/>
      <c r="AH39" s="380"/>
      <c r="AI39" s="380" t="s">
        <v>432</v>
      </c>
      <c r="AJ39" s="380">
        <f>AVERAGE(AJ27:AJ37)</f>
        <v>23943.073284235106</v>
      </c>
      <c r="AK39" s="380">
        <f>AVERAGE(AK27:AK37)</f>
        <v>23863.605680305114</v>
      </c>
      <c r="AL39" s="380"/>
      <c r="AM39" s="380"/>
      <c r="AN39" s="380"/>
      <c r="AO39" s="380"/>
    </row>
    <row r="40" spans="2:41" x14ac:dyDescent="0.25">
      <c r="B40" s="232"/>
      <c r="C40" s="232"/>
      <c r="D40" s="232"/>
      <c r="E40" s="232"/>
      <c r="F40" s="232"/>
      <c r="G40" s="232"/>
      <c r="H40" s="232"/>
      <c r="I40" s="232"/>
      <c r="J40" s="232"/>
      <c r="K40" s="232"/>
      <c r="L40" s="232"/>
      <c r="M40" s="232"/>
      <c r="N40" s="232"/>
      <c r="O40" s="232"/>
      <c r="AF40" s="345"/>
      <c r="AG40" s="345"/>
      <c r="AH40" s="232"/>
      <c r="AI40" s="232"/>
      <c r="AJ40" s="232"/>
      <c r="AK40" s="232"/>
      <c r="AL40" s="232"/>
      <c r="AM40" s="232"/>
      <c r="AN40" s="232"/>
      <c r="AO40" s="232"/>
    </row>
    <row r="41" spans="2:41" x14ac:dyDescent="0.25">
      <c r="B41" s="232"/>
      <c r="C41" s="232"/>
      <c r="D41" s="232"/>
      <c r="E41" s="232"/>
      <c r="F41" s="232"/>
      <c r="G41" s="232"/>
      <c r="H41" s="232"/>
      <c r="I41" s="232"/>
      <c r="J41" s="232"/>
      <c r="K41" s="232"/>
      <c r="L41" s="232"/>
      <c r="M41" s="232"/>
      <c r="N41" s="232"/>
      <c r="O41" s="232"/>
      <c r="S41" s="37"/>
      <c r="AF41" s="345"/>
      <c r="AG41" s="345"/>
      <c r="AH41" s="232"/>
      <c r="AI41" s="232"/>
      <c r="AJ41" s="232"/>
      <c r="AK41" s="232"/>
      <c r="AL41" s="232"/>
      <c r="AM41" s="232"/>
      <c r="AN41" s="232"/>
      <c r="AO41" s="232"/>
    </row>
    <row r="42" spans="2:41" ht="15.75" thickBot="1" x14ac:dyDescent="0.3">
      <c r="B42" s="232"/>
      <c r="C42" s="232"/>
      <c r="D42" s="232"/>
      <c r="E42" s="232"/>
      <c r="F42" s="232"/>
      <c r="G42" s="232"/>
      <c r="H42" s="232"/>
      <c r="I42" s="232"/>
      <c r="J42" s="232"/>
      <c r="K42" s="232"/>
      <c r="L42" s="232"/>
      <c r="M42" s="232"/>
      <c r="N42" s="232"/>
      <c r="O42" s="232"/>
      <c r="AF42" s="345"/>
      <c r="AG42" s="345"/>
      <c r="AH42" s="232"/>
      <c r="AI42" s="232"/>
      <c r="AJ42" s="232"/>
      <c r="AK42" s="232"/>
      <c r="AL42" s="232"/>
      <c r="AM42" s="232"/>
      <c r="AN42" s="232"/>
      <c r="AO42" s="232"/>
    </row>
    <row r="43" spans="2:41" ht="15.75" thickBot="1" x14ac:dyDescent="0.3">
      <c r="B43" s="232"/>
      <c r="C43" s="232"/>
      <c r="D43" s="232"/>
      <c r="E43" s="232"/>
      <c r="F43" s="232"/>
      <c r="G43" s="232"/>
      <c r="H43" s="232"/>
      <c r="I43" s="232"/>
      <c r="J43" s="232"/>
      <c r="K43" s="232"/>
      <c r="L43" s="232"/>
      <c r="M43" s="232"/>
      <c r="N43" s="232"/>
      <c r="O43" s="232"/>
      <c r="S43" s="768" t="s">
        <v>431</v>
      </c>
      <c r="T43" s="769"/>
      <c r="V43" s="768" t="s">
        <v>430</v>
      </c>
      <c r="W43" s="769"/>
      <c r="AF43" s="345" t="s">
        <v>429</v>
      </c>
      <c r="AG43" s="345"/>
      <c r="AH43" s="232"/>
      <c r="AI43" s="232"/>
      <c r="AJ43" s="232"/>
      <c r="AK43" s="232"/>
      <c r="AL43" s="232"/>
      <c r="AM43" s="232"/>
      <c r="AN43" s="232"/>
      <c r="AO43" s="232"/>
    </row>
    <row r="44" spans="2:41" ht="15.75" thickBot="1" x14ac:dyDescent="0.3">
      <c r="B44" s="232"/>
      <c r="C44" s="779" t="s">
        <v>428</v>
      </c>
      <c r="D44" s="780"/>
      <c r="E44" s="780"/>
      <c r="F44" s="780"/>
      <c r="G44" s="780"/>
      <c r="H44" s="780"/>
      <c r="I44" s="780"/>
      <c r="J44" s="780"/>
      <c r="K44" s="781"/>
      <c r="L44" s="232"/>
      <c r="M44" s="232"/>
      <c r="N44" s="232"/>
      <c r="O44" s="232"/>
      <c r="S44" s="368" t="s">
        <v>420</v>
      </c>
      <c r="T44" s="367">
        <f>AI50</f>
        <v>3.2870410105507314E-2</v>
      </c>
      <c r="V44" s="368" t="s">
        <v>420</v>
      </c>
      <c r="W44" s="367">
        <f>AI45</f>
        <v>3.2873601490799695E-2</v>
      </c>
      <c r="AF44" s="345" cm="1">
        <f t="array" ref="AF44:AH44">LINEST(X28:X38,C28:C38^{1,2})</f>
        <v>6.9475590801336838E-12</v>
      </c>
      <c r="AG44" s="345">
        <v>3.9121287391962347E-5</v>
      </c>
      <c r="AH44" s="232">
        <v>2.3343879534956473E-2</v>
      </c>
      <c r="AI44" s="232"/>
      <c r="AJ44" s="232"/>
      <c r="AK44" s="232"/>
      <c r="AL44" s="232"/>
      <c r="AM44" s="232"/>
      <c r="AN44" s="232"/>
      <c r="AO44" s="232"/>
    </row>
    <row r="45" spans="2:41" x14ac:dyDescent="0.25">
      <c r="B45" s="232"/>
      <c r="C45" s="379" t="str">
        <f>C25</f>
        <v>Force Applied</v>
      </c>
      <c r="D45" s="775" t="s">
        <v>427</v>
      </c>
      <c r="E45" s="775" t="s">
        <v>426</v>
      </c>
      <c r="F45" s="777" t="s">
        <v>65</v>
      </c>
      <c r="G45" s="376" t="s">
        <v>66</v>
      </c>
      <c r="H45" s="378" t="s">
        <v>67</v>
      </c>
      <c r="I45" s="377" t="s">
        <v>68</v>
      </c>
      <c r="J45" s="376" t="s">
        <v>69</v>
      </c>
      <c r="K45" s="375" t="s">
        <v>425</v>
      </c>
      <c r="L45" s="232"/>
      <c r="M45" s="232"/>
      <c r="N45" s="232"/>
      <c r="O45" s="232"/>
      <c r="S45" s="366" t="s">
        <v>419</v>
      </c>
      <c r="T45" s="365">
        <f>AH50</f>
        <v>3.7721917397054333E-5</v>
      </c>
      <c r="V45" s="366" t="s">
        <v>419</v>
      </c>
      <c r="W45" s="365">
        <f>AH45</f>
        <v>3.7721084471561588E-5</v>
      </c>
      <c r="AF45" s="345" cm="1">
        <f t="array" ref="AF45:AI45">LINEST(X28:X38,C28:C38^{1,2,3})</f>
        <v>-2.3775930296221542E-16</v>
      </c>
      <c r="AG45" s="345">
        <v>4.2944208435904862E-11</v>
      </c>
      <c r="AH45" s="232">
        <v>3.7721084471561588E-5</v>
      </c>
      <c r="AI45" s="232">
        <v>3.2873601490799695E-2</v>
      </c>
      <c r="AJ45" s="232"/>
      <c r="AK45" s="232"/>
      <c r="AL45" s="232"/>
      <c r="AM45" s="232"/>
      <c r="AN45" s="232"/>
      <c r="AO45" s="232"/>
    </row>
    <row r="46" spans="2:41" x14ac:dyDescent="0.25">
      <c r="B46" s="232"/>
      <c r="C46" s="374" t="str">
        <f>C8</f>
        <v>lbf</v>
      </c>
      <c r="D46" s="776"/>
      <c r="E46" s="776"/>
      <c r="F46" s="778"/>
      <c r="G46" s="373" t="str">
        <f>C8</f>
        <v>lbf</v>
      </c>
      <c r="H46" s="372" t="str">
        <f>C8</f>
        <v>lbf</v>
      </c>
      <c r="I46" s="371"/>
      <c r="J46" s="370"/>
      <c r="K46" s="369"/>
      <c r="L46" s="232"/>
      <c r="M46" s="232"/>
      <c r="N46" s="232"/>
      <c r="O46" s="232"/>
      <c r="S46" s="366" t="s">
        <v>418</v>
      </c>
      <c r="T46" s="365">
        <f>AG50</f>
        <v>4.2918050820328414E-11</v>
      </c>
      <c r="V46" s="366" t="s">
        <v>418</v>
      </c>
      <c r="W46" s="365">
        <f>AG45</f>
        <v>4.2944208435904862E-11</v>
      </c>
      <c r="AF46" s="345"/>
      <c r="AG46" s="345"/>
      <c r="AH46" s="232"/>
      <c r="AI46" s="232"/>
      <c r="AJ46" s="232"/>
      <c r="AK46" s="232"/>
      <c r="AL46" s="232"/>
      <c r="AM46" s="232"/>
      <c r="AN46" s="232"/>
      <c r="AO46" s="232"/>
    </row>
    <row r="47" spans="2:41" ht="15.75" thickBot="1" x14ac:dyDescent="0.3">
      <c r="B47" s="232"/>
      <c r="C47" s="362">
        <f t="shared" ref="C47:C57" si="17">C28</f>
        <v>1000</v>
      </c>
      <c r="D47" s="353">
        <f t="shared" ref="D47:D57" si="18">C28</f>
        <v>1000</v>
      </c>
      <c r="E47" s="353">
        <f t="shared" ref="E47:E57" si="19">IF($C$21="Fitted",Y28*AJ27,X28*AK27)</f>
        <v>1000.0337578075655</v>
      </c>
      <c r="F47" s="361">
        <f t="shared" ref="F47:F57" si="20">(D47-E47)</f>
        <v>-3.3757807565507392E-2</v>
      </c>
      <c r="G47" s="360">
        <f t="shared" ref="G47:G57" si="21">N28</f>
        <v>0.1</v>
      </c>
      <c r="H47" s="359">
        <f t="shared" ref="H47:H57" si="22">H28</f>
        <v>2.0883886398635458</v>
      </c>
      <c r="I47" s="358">
        <f t="shared" ref="I47:I57" si="23">F47/SQRT(SUMSQ(G47,H47))</f>
        <v>-1.6146023972612233E-2</v>
      </c>
      <c r="J47" s="42" t="str">
        <f t="shared" ref="J47:J57" si="24">IF(ABS(I47)&lt;1,"Pass","Fail")</f>
        <v>Pass</v>
      </c>
      <c r="K47" s="357">
        <f t="shared" ref="K47:K57" si="25">IF(ISERROR(F47/G28),0,(F47/G28))</f>
        <v>-0.50582523074613583</v>
      </c>
      <c r="L47" s="346"/>
      <c r="M47" s="232"/>
      <c r="N47" s="232"/>
      <c r="O47" s="232"/>
      <c r="S47" s="364" t="s">
        <v>424</v>
      </c>
      <c r="T47" s="363">
        <f>AF50</f>
        <v>-2.3762489276454728E-16</v>
      </c>
      <c r="V47" s="364" t="s">
        <v>424</v>
      </c>
      <c r="W47" s="363">
        <f>AF45</f>
        <v>-2.3775930296221542E-16</v>
      </c>
      <c r="AF47" s="345" t="s">
        <v>423</v>
      </c>
      <c r="AG47" s="345"/>
      <c r="AH47" s="232"/>
      <c r="AI47" s="232"/>
      <c r="AJ47" s="232"/>
      <c r="AK47" s="232"/>
      <c r="AL47" s="232"/>
      <c r="AM47" s="232"/>
      <c r="AN47" s="232"/>
      <c r="AO47" s="232"/>
    </row>
    <row r="48" spans="2:41" ht="15.75" thickBot="1" x14ac:dyDescent="0.3">
      <c r="B48" s="232"/>
      <c r="C48" s="362">
        <f t="shared" si="17"/>
        <v>10000</v>
      </c>
      <c r="D48" s="353">
        <f t="shared" si="18"/>
        <v>10000</v>
      </c>
      <c r="E48" s="353">
        <f t="shared" si="19"/>
        <v>9999.9358551666282</v>
      </c>
      <c r="F48" s="361">
        <f t="shared" si="20"/>
        <v>6.4144833371756249E-2</v>
      </c>
      <c r="G48" s="360">
        <f t="shared" si="21"/>
        <v>1</v>
      </c>
      <c r="H48" s="359">
        <f t="shared" si="22"/>
        <v>2.0944476864106947</v>
      </c>
      <c r="I48" s="358">
        <f t="shared" si="23"/>
        <v>2.7637568934242809E-2</v>
      </c>
      <c r="J48" s="42" t="str">
        <f t="shared" si="24"/>
        <v>Pass</v>
      </c>
      <c r="K48" s="357">
        <f t="shared" si="25"/>
        <v>0.28176631299823701</v>
      </c>
      <c r="L48" s="346"/>
      <c r="M48" s="232"/>
      <c r="N48" s="232"/>
      <c r="O48" s="232"/>
      <c r="S48" s="366"/>
      <c r="T48" s="365"/>
      <c r="V48" s="366"/>
      <c r="W48" s="365"/>
      <c r="AF48" s="345"/>
      <c r="AG48" s="345"/>
      <c r="AH48" s="232"/>
      <c r="AI48" s="232"/>
      <c r="AJ48" s="232"/>
      <c r="AK48" s="232"/>
      <c r="AL48" s="232"/>
      <c r="AM48" s="232"/>
      <c r="AN48" s="232"/>
      <c r="AO48" s="232"/>
    </row>
    <row r="49" spans="2:41" ht="15.75" thickBot="1" x14ac:dyDescent="0.3">
      <c r="B49" s="232"/>
      <c r="C49" s="362">
        <f t="shared" si="17"/>
        <v>20000</v>
      </c>
      <c r="D49" s="353">
        <f t="shared" si="18"/>
        <v>20000</v>
      </c>
      <c r="E49" s="353">
        <f t="shared" si="19"/>
        <v>19999.898343207333</v>
      </c>
      <c r="F49" s="361">
        <f t="shared" si="20"/>
        <v>0.10165679266719962</v>
      </c>
      <c r="G49" s="360">
        <f t="shared" si="21"/>
        <v>2</v>
      </c>
      <c r="H49" s="359">
        <f t="shared" si="22"/>
        <v>2.1127023243020093</v>
      </c>
      <c r="I49" s="358">
        <f t="shared" si="23"/>
        <v>3.49430748893267E-2</v>
      </c>
      <c r="J49" s="42" t="str">
        <f t="shared" si="24"/>
        <v>Pass</v>
      </c>
      <c r="K49" s="357">
        <f t="shared" si="25"/>
        <v>0.86536291725837489</v>
      </c>
      <c r="L49" s="346"/>
      <c r="M49" s="232"/>
      <c r="N49" s="232"/>
      <c r="O49" s="232"/>
      <c r="S49" s="766" t="s">
        <v>422</v>
      </c>
      <c r="T49" s="767"/>
      <c r="V49" s="766" t="s">
        <v>421</v>
      </c>
      <c r="W49" s="767"/>
      <c r="AF49" s="345" cm="1">
        <f t="array" ref="AF49:AH49">LINEST(S28:S38,C28:C38^{1,2})</f>
        <v>6.9417511068005873E-12</v>
      </c>
      <c r="AG49" s="345">
        <v>3.9121328754101043E-5</v>
      </c>
      <c r="AH49" s="232">
        <v>2.3346075496430061E-2</v>
      </c>
      <c r="AI49" s="232"/>
      <c r="AJ49" s="232"/>
      <c r="AK49" s="232"/>
      <c r="AL49" s="232"/>
      <c r="AM49" s="232"/>
      <c r="AN49" s="232"/>
      <c r="AO49" s="232"/>
    </row>
    <row r="50" spans="2:41" x14ac:dyDescent="0.25">
      <c r="B50" s="232"/>
      <c r="C50" s="362">
        <f t="shared" si="17"/>
        <v>30000</v>
      </c>
      <c r="D50" s="353">
        <f t="shared" si="18"/>
        <v>30000</v>
      </c>
      <c r="E50" s="353">
        <f t="shared" si="19"/>
        <v>29999.95278163657</v>
      </c>
      <c r="F50" s="361">
        <f t="shared" si="20"/>
        <v>4.7218363430147292E-2</v>
      </c>
      <c r="G50" s="360">
        <f t="shared" si="21"/>
        <v>3</v>
      </c>
      <c r="H50" s="359">
        <f t="shared" si="22"/>
        <v>2.1427811626741335</v>
      </c>
      <c r="I50" s="358">
        <f t="shared" si="23"/>
        <v>1.2807874348141218E-2</v>
      </c>
      <c r="J50" s="42" t="str">
        <f t="shared" si="24"/>
        <v>Pass</v>
      </c>
      <c r="K50" s="357">
        <f t="shared" si="25"/>
        <v>0.39957207136244155</v>
      </c>
      <c r="L50" s="346"/>
      <c r="M50" s="232"/>
      <c r="N50" s="232"/>
      <c r="O50" s="232"/>
      <c r="S50" s="368" t="s">
        <v>420</v>
      </c>
      <c r="T50" s="367">
        <f>AH49</f>
        <v>2.3346075496430061E-2</v>
      </c>
      <c r="V50" s="368" t="s">
        <v>420</v>
      </c>
      <c r="W50" s="367">
        <f>AH44</f>
        <v>2.3343879534956473E-2</v>
      </c>
      <c r="AF50" s="345" cm="1">
        <f t="array" ref="AF50:AI50">LINEST(S28:S38,C28:C38^{1,2,3})</f>
        <v>-2.3762489276454728E-16</v>
      </c>
      <c r="AG50" s="345">
        <v>4.2918050820328414E-11</v>
      </c>
      <c r="AH50" s="232">
        <v>3.7721917397054333E-5</v>
      </c>
      <c r="AI50" s="232">
        <v>3.2870410105507314E-2</v>
      </c>
      <c r="AJ50" s="232"/>
      <c r="AK50" s="232"/>
      <c r="AL50" s="232"/>
      <c r="AM50" s="232"/>
      <c r="AN50" s="232"/>
      <c r="AO50" s="232"/>
    </row>
    <row r="51" spans="2:41" x14ac:dyDescent="0.25">
      <c r="B51" s="232"/>
      <c r="C51" s="362">
        <f t="shared" si="17"/>
        <v>40000</v>
      </c>
      <c r="D51" s="353">
        <f t="shared" si="18"/>
        <v>40000</v>
      </c>
      <c r="E51" s="353">
        <f t="shared" si="19"/>
        <v>40000.078342081171</v>
      </c>
      <c r="F51" s="361">
        <f t="shared" si="20"/>
        <v>-7.8342081171285827E-2</v>
      </c>
      <c r="G51" s="360">
        <f t="shared" si="21"/>
        <v>4</v>
      </c>
      <c r="H51" s="359">
        <f t="shared" si="22"/>
        <v>2.1841957584225624</v>
      </c>
      <c r="I51" s="358">
        <f t="shared" si="23"/>
        <v>-1.718974450718146E-2</v>
      </c>
      <c r="J51" s="42" t="str">
        <f t="shared" si="24"/>
        <v>Pass</v>
      </c>
      <c r="K51" s="357">
        <f t="shared" si="25"/>
        <v>-0.66276365971892781</v>
      </c>
      <c r="L51" s="346"/>
      <c r="M51" s="232"/>
      <c r="N51" s="232"/>
      <c r="O51" s="232"/>
      <c r="S51" s="366" t="s">
        <v>419</v>
      </c>
      <c r="T51" s="365">
        <f>AG49</f>
        <v>3.9121328754101043E-5</v>
      </c>
      <c r="V51" s="366" t="s">
        <v>419</v>
      </c>
      <c r="W51" s="365">
        <f>AG44</f>
        <v>3.9121287391962347E-5</v>
      </c>
      <c r="AF51" s="345"/>
      <c r="AG51" s="345"/>
      <c r="AH51" s="232"/>
      <c r="AI51" s="232"/>
      <c r="AJ51" s="232"/>
      <c r="AK51" s="232"/>
      <c r="AL51" s="232"/>
      <c r="AM51" s="232"/>
      <c r="AN51" s="232"/>
      <c r="AO51" s="232"/>
    </row>
    <row r="52" spans="2:41" ht="15.75" thickBot="1" x14ac:dyDescent="0.3">
      <c r="B52" s="232"/>
      <c r="C52" s="362">
        <f t="shared" si="17"/>
        <v>50000</v>
      </c>
      <c r="D52" s="353">
        <f t="shared" si="18"/>
        <v>50000</v>
      </c>
      <c r="E52" s="353">
        <f t="shared" si="19"/>
        <v>50000.253883768666</v>
      </c>
      <c r="F52" s="361">
        <f t="shared" si="20"/>
        <v>-0.25388376866612816</v>
      </c>
      <c r="G52" s="360">
        <f t="shared" si="21"/>
        <v>5</v>
      </c>
      <c r="H52" s="359">
        <f t="shared" si="22"/>
        <v>2.2363164156959345</v>
      </c>
      <c r="I52" s="358">
        <f t="shared" si="23"/>
        <v>-4.6351764002901523E-2</v>
      </c>
      <c r="J52" s="42" t="str">
        <f t="shared" si="24"/>
        <v>Pass</v>
      </c>
      <c r="K52" s="357">
        <f t="shared" si="25"/>
        <v>-1.0752840120262688</v>
      </c>
      <c r="L52" s="346"/>
      <c r="M52" s="232"/>
      <c r="N52" s="232"/>
      <c r="O52" s="232"/>
      <c r="S52" s="364" t="s">
        <v>418</v>
      </c>
      <c r="T52" s="363">
        <f>AF49</f>
        <v>6.9417511068005873E-12</v>
      </c>
      <c r="V52" s="364" t="s">
        <v>418</v>
      </c>
      <c r="W52" s="363">
        <f>AF44</f>
        <v>6.9475590801336838E-12</v>
      </c>
      <c r="AF52" s="345"/>
      <c r="AG52" s="345"/>
      <c r="AH52" s="232"/>
      <c r="AI52" s="232"/>
      <c r="AJ52" s="232"/>
      <c r="AK52" s="232"/>
      <c r="AL52" s="232"/>
      <c r="AM52" s="232"/>
      <c r="AN52" s="232"/>
      <c r="AO52" s="232"/>
    </row>
    <row r="53" spans="2:41" x14ac:dyDescent="0.25">
      <c r="B53" s="232"/>
      <c r="C53" s="362">
        <f t="shared" si="17"/>
        <v>60000</v>
      </c>
      <c r="D53" s="353">
        <f t="shared" si="18"/>
        <v>60000</v>
      </c>
      <c r="E53" s="353">
        <f t="shared" si="19"/>
        <v>60000.458888436355</v>
      </c>
      <c r="F53" s="361">
        <f t="shared" si="20"/>
        <v>-0.45888843635475496</v>
      </c>
      <c r="G53" s="360">
        <f t="shared" si="21"/>
        <v>6</v>
      </c>
      <c r="H53" s="359">
        <f t="shared" si="22"/>
        <v>2.2984149127411944</v>
      </c>
      <c r="I53" s="358">
        <f t="shared" si="23"/>
        <v>-7.1420520133843091E-2</v>
      </c>
      <c r="J53" s="42" t="str">
        <f t="shared" si="24"/>
        <v>Pass</v>
      </c>
      <c r="K53" s="357">
        <f t="shared" si="25"/>
        <v>-1.2975882565056176</v>
      </c>
      <c r="L53" s="346"/>
      <c r="M53" s="232"/>
      <c r="N53" s="232"/>
      <c r="O53" s="232"/>
      <c r="AF53" s="345"/>
      <c r="AG53" s="345"/>
      <c r="AH53" s="232"/>
      <c r="AI53" s="232"/>
      <c r="AJ53" s="232"/>
      <c r="AK53" s="232"/>
      <c r="AL53" s="232"/>
      <c r="AM53" s="232"/>
      <c r="AN53" s="232"/>
      <c r="AO53" s="232"/>
    </row>
    <row r="54" spans="2:41" x14ac:dyDescent="0.25">
      <c r="B54" s="232"/>
      <c r="C54" s="362">
        <f t="shared" si="17"/>
        <v>70000</v>
      </c>
      <c r="D54" s="353">
        <f t="shared" si="18"/>
        <v>70000</v>
      </c>
      <c r="E54" s="353">
        <f t="shared" si="19"/>
        <v>70000.673376945051</v>
      </c>
      <c r="F54" s="361">
        <f t="shared" si="20"/>
        <v>-0.67337694505113177</v>
      </c>
      <c r="G54" s="360">
        <f t="shared" si="21"/>
        <v>7</v>
      </c>
      <c r="H54" s="359">
        <f t="shared" si="22"/>
        <v>2.3697069673508393</v>
      </c>
      <c r="I54" s="358">
        <f t="shared" si="23"/>
        <v>-9.1117174050294042E-2</v>
      </c>
      <c r="J54" s="42" t="str">
        <f t="shared" si="24"/>
        <v>Pass</v>
      </c>
      <c r="K54" s="357">
        <f t="shared" si="25"/>
        <v>-1.4295694109697854</v>
      </c>
      <c r="L54" s="346"/>
      <c r="M54" s="232"/>
      <c r="N54" s="232"/>
      <c r="O54" s="232"/>
      <c r="AF54" s="345"/>
      <c r="AG54" s="345"/>
      <c r="AH54" s="232"/>
      <c r="AI54" s="232"/>
      <c r="AJ54" s="232"/>
      <c r="AK54" s="232"/>
      <c r="AL54" s="232"/>
      <c r="AM54" s="232"/>
      <c r="AN54" s="232"/>
      <c r="AO54" s="232"/>
    </row>
    <row r="55" spans="2:41" x14ac:dyDescent="0.25">
      <c r="B55" s="232"/>
      <c r="C55" s="362">
        <f t="shared" si="17"/>
        <v>80000</v>
      </c>
      <c r="D55" s="353">
        <f t="shared" si="18"/>
        <v>80000</v>
      </c>
      <c r="E55" s="353">
        <f t="shared" si="19"/>
        <v>80000.877704486687</v>
      </c>
      <c r="F55" s="361">
        <f t="shared" si="20"/>
        <v>-0.87770448668743484</v>
      </c>
      <c r="G55" s="360">
        <f t="shared" si="21"/>
        <v>8</v>
      </c>
      <c r="H55" s="359">
        <f t="shared" si="22"/>
        <v>2.4493899467236964</v>
      </c>
      <c r="I55" s="358">
        <f t="shared" si="23"/>
        <v>-0.1049061176424612</v>
      </c>
      <c r="J55" s="42" t="str">
        <f t="shared" si="24"/>
        <v>Pass</v>
      </c>
      <c r="K55" s="357">
        <f t="shared" si="25"/>
        <v>-1.4912060791105368</v>
      </c>
      <c r="L55" s="811" t="s">
        <v>417</v>
      </c>
      <c r="M55" s="748"/>
      <c r="N55" s="748"/>
      <c r="O55" s="748"/>
      <c r="P55" s="748"/>
      <c r="AF55" s="345" t="s">
        <v>416</v>
      </c>
      <c r="AG55" s="345" t="s">
        <v>415</v>
      </c>
      <c r="AH55" s="232"/>
      <c r="AI55" s="232"/>
      <c r="AJ55" s="232"/>
      <c r="AK55" s="232"/>
      <c r="AL55" s="232"/>
      <c r="AM55" s="232"/>
      <c r="AN55" s="232"/>
      <c r="AO55" s="232"/>
    </row>
    <row r="56" spans="2:41" x14ac:dyDescent="0.25">
      <c r="B56" s="232"/>
      <c r="C56" s="362">
        <f t="shared" si="17"/>
        <v>90000</v>
      </c>
      <c r="D56" s="353">
        <f t="shared" si="18"/>
        <v>90000</v>
      </c>
      <c r="E56" s="353">
        <f t="shared" si="19"/>
        <v>90001.052335678294</v>
      </c>
      <c r="F56" s="361">
        <f t="shared" si="20"/>
        <v>-1.0523356782941846</v>
      </c>
      <c r="G56" s="360">
        <f t="shared" si="21"/>
        <v>9</v>
      </c>
      <c r="H56" s="359">
        <f t="shared" si="22"/>
        <v>2.5366732369603917</v>
      </c>
      <c r="I56" s="358">
        <f t="shared" si="23"/>
        <v>-0.11254141082910249</v>
      </c>
      <c r="J56" s="42" t="str">
        <f t="shared" si="24"/>
        <v>Pass</v>
      </c>
      <c r="K56" s="357">
        <f t="shared" si="25"/>
        <v>-1.4891577953782269</v>
      </c>
      <c r="L56" s="346"/>
      <c r="M56" s="232"/>
      <c r="N56" s="232"/>
      <c r="O56" s="232"/>
      <c r="V56" s="356"/>
      <c r="AF56" s="345"/>
      <c r="AG56" s="345"/>
      <c r="AH56" s="232"/>
      <c r="AI56" s="232"/>
      <c r="AJ56" s="232"/>
      <c r="AK56" s="232"/>
      <c r="AL56" s="232"/>
      <c r="AM56" s="232"/>
      <c r="AN56" s="232"/>
      <c r="AO56" s="232"/>
    </row>
    <row r="57" spans="2:41" ht="15.75" thickBot="1" x14ac:dyDescent="0.3">
      <c r="B57" s="232"/>
      <c r="C57" s="355">
        <f t="shared" si="17"/>
        <v>100000</v>
      </c>
      <c r="D57" s="354">
        <f t="shared" si="18"/>
        <v>100000</v>
      </c>
      <c r="E57" s="353">
        <f t="shared" si="19"/>
        <v>100001.17761559598</v>
      </c>
      <c r="F57" s="352">
        <f t="shared" si="20"/>
        <v>-1.1776155959814787</v>
      </c>
      <c r="G57" s="351">
        <f t="shared" si="21"/>
        <v>10</v>
      </c>
      <c r="H57" s="350">
        <f t="shared" si="22"/>
        <v>2.6308004696500857</v>
      </c>
      <c r="I57" s="349">
        <f t="shared" si="23"/>
        <v>-0.11388638745164237</v>
      </c>
      <c r="J57" s="348" t="str">
        <f t="shared" si="24"/>
        <v>Pass</v>
      </c>
      <c r="K57" s="347">
        <f t="shared" si="25"/>
        <v>-1.4262786460330044</v>
      </c>
      <c r="L57" s="346"/>
      <c r="M57" s="232"/>
      <c r="N57" s="232"/>
      <c r="O57" s="232"/>
      <c r="AF57" s="345" t="s">
        <v>414</v>
      </c>
      <c r="AG57" s="344">
        <f>MAX(C47:C57)</f>
        <v>100000</v>
      </c>
      <c r="AH57" s="232"/>
      <c r="AI57" s="232"/>
      <c r="AJ57" s="232"/>
      <c r="AK57" s="232"/>
      <c r="AL57" s="232"/>
      <c r="AM57" s="232"/>
      <c r="AN57" s="232"/>
      <c r="AO57" s="232"/>
    </row>
    <row r="58" spans="2:41" x14ac:dyDescent="0.25">
      <c r="B58" s="232"/>
      <c r="C58" s="232"/>
      <c r="D58" s="232"/>
      <c r="E58" s="232"/>
      <c r="F58" s="232"/>
      <c r="G58" s="232"/>
      <c r="H58" s="232"/>
      <c r="I58" s="232"/>
      <c r="J58" s="232"/>
      <c r="K58" s="232"/>
      <c r="L58" s="343"/>
      <c r="M58" s="343"/>
      <c r="N58" s="343"/>
      <c r="O58" s="343"/>
      <c r="P58" s="343"/>
      <c r="Q58" s="37"/>
      <c r="R58" s="37"/>
    </row>
    <row r="59" spans="2:41" x14ac:dyDescent="0.25">
      <c r="B59" s="232"/>
      <c r="C59" s="232"/>
      <c r="D59" s="232"/>
      <c r="E59" s="232"/>
      <c r="F59" s="232"/>
      <c r="G59" s="232"/>
      <c r="H59" s="232"/>
      <c r="I59" s="232"/>
      <c r="J59" s="232"/>
      <c r="K59" s="232"/>
      <c r="L59" s="232"/>
      <c r="M59" s="232"/>
      <c r="N59" s="232"/>
      <c r="O59" s="232"/>
    </row>
    <row r="60" spans="2:41" x14ac:dyDescent="0.25">
      <c r="B60" s="232"/>
      <c r="C60" s="232"/>
      <c r="D60" s="232"/>
      <c r="E60" s="232"/>
      <c r="F60" s="232"/>
      <c r="G60" s="232"/>
      <c r="H60" s="232"/>
      <c r="I60" s="232"/>
      <c r="J60" s="232"/>
      <c r="K60" s="232"/>
      <c r="L60" s="232"/>
      <c r="M60" s="232"/>
      <c r="N60" s="232"/>
      <c r="O60" s="232"/>
    </row>
    <row r="61" spans="2:41" x14ac:dyDescent="0.25">
      <c r="B61" s="232"/>
      <c r="C61" s="232"/>
      <c r="D61" s="232"/>
      <c r="E61" s="232"/>
      <c r="F61" s="232"/>
      <c r="G61" s="232"/>
      <c r="H61" s="232"/>
      <c r="I61" s="232"/>
      <c r="J61" s="232"/>
      <c r="K61" s="232"/>
      <c r="L61" s="232"/>
      <c r="M61" s="232"/>
      <c r="N61" s="232"/>
      <c r="O61" s="232"/>
    </row>
    <row r="62" spans="2:41" x14ac:dyDescent="0.25">
      <c r="B62" s="232"/>
      <c r="C62" s="232"/>
      <c r="D62" s="232"/>
      <c r="E62" s="232"/>
      <c r="F62" s="232"/>
      <c r="G62" s="232"/>
      <c r="H62" s="232"/>
      <c r="I62" s="232"/>
      <c r="J62" s="232"/>
      <c r="K62" s="232"/>
      <c r="L62" s="232"/>
      <c r="M62" s="232"/>
      <c r="N62" s="232"/>
      <c r="O62" s="232"/>
    </row>
    <row r="63" spans="2:41" x14ac:dyDescent="0.25">
      <c r="B63" s="232"/>
      <c r="C63" s="232"/>
      <c r="D63" s="232"/>
      <c r="E63" s="232"/>
      <c r="F63" s="232"/>
      <c r="G63" s="232"/>
      <c r="H63" s="232"/>
      <c r="I63" s="232"/>
      <c r="J63" s="232"/>
      <c r="K63" s="232"/>
      <c r="L63" s="232"/>
      <c r="M63" s="232"/>
      <c r="N63" s="232"/>
      <c r="O63" s="232"/>
    </row>
    <row r="64" spans="2:41" x14ac:dyDescent="0.25">
      <c r="B64" s="232"/>
      <c r="C64" s="232"/>
      <c r="D64" s="232"/>
      <c r="E64" s="232"/>
      <c r="F64" s="232"/>
      <c r="G64" s="232"/>
      <c r="H64" s="232"/>
      <c r="I64" s="232"/>
      <c r="J64" s="232"/>
      <c r="K64" s="232"/>
      <c r="L64" s="232"/>
      <c r="M64" s="232"/>
      <c r="N64" s="232"/>
      <c r="O64" s="232"/>
    </row>
    <row r="65" spans="2:15" x14ac:dyDescent="0.25">
      <c r="B65" s="232"/>
      <c r="C65" s="232"/>
      <c r="D65" s="232"/>
      <c r="E65" s="232"/>
      <c r="F65" s="232"/>
      <c r="G65" s="232"/>
      <c r="H65" s="232"/>
      <c r="I65" s="232"/>
      <c r="J65" s="232"/>
      <c r="K65" s="232"/>
      <c r="L65" s="232"/>
      <c r="M65" s="232"/>
      <c r="N65" s="232"/>
      <c r="O65" s="232"/>
    </row>
    <row r="66" spans="2:15" x14ac:dyDescent="0.25">
      <c r="B66" s="232"/>
      <c r="C66" s="232"/>
      <c r="D66" s="232"/>
      <c r="E66" s="232"/>
      <c r="F66" s="232"/>
      <c r="G66" s="232"/>
      <c r="H66" s="232"/>
      <c r="I66" s="232"/>
      <c r="J66" s="232"/>
      <c r="K66" s="232"/>
      <c r="L66" s="232"/>
      <c r="M66" s="232"/>
      <c r="N66" s="232"/>
      <c r="O66" s="232"/>
    </row>
    <row r="67" spans="2:15" x14ac:dyDescent="0.25">
      <c r="B67" s="232"/>
      <c r="C67" s="232"/>
      <c r="D67" s="232"/>
      <c r="E67" s="232"/>
      <c r="F67" s="232"/>
      <c r="G67" s="232"/>
      <c r="H67" s="232"/>
      <c r="I67" s="232"/>
      <c r="J67" s="232"/>
      <c r="K67" s="232"/>
      <c r="L67" s="232"/>
      <c r="M67" s="232"/>
      <c r="N67" s="232"/>
      <c r="O67" s="232"/>
    </row>
    <row r="68" spans="2:15" x14ac:dyDescent="0.25">
      <c r="B68" s="232"/>
      <c r="C68" s="232"/>
      <c r="D68" s="232"/>
      <c r="E68" s="232"/>
      <c r="F68" s="232"/>
      <c r="G68" s="232"/>
      <c r="H68" s="232"/>
      <c r="I68" s="232"/>
      <c r="J68" s="232"/>
      <c r="K68" s="232"/>
      <c r="L68" s="232"/>
      <c r="M68" s="232"/>
      <c r="N68" s="232"/>
      <c r="O68" s="232"/>
    </row>
    <row r="69" spans="2:15" x14ac:dyDescent="0.25">
      <c r="B69" s="232"/>
      <c r="C69" s="232"/>
      <c r="D69" s="232"/>
      <c r="E69" s="232"/>
      <c r="F69" s="232"/>
      <c r="G69" s="232"/>
      <c r="H69" s="232"/>
      <c r="I69" s="232"/>
      <c r="J69" s="232"/>
      <c r="K69" s="232"/>
      <c r="L69" s="232"/>
      <c r="M69" s="232"/>
      <c r="N69" s="232"/>
      <c r="O69" s="232"/>
    </row>
    <row r="70" spans="2:15" x14ac:dyDescent="0.25">
      <c r="B70" s="232"/>
      <c r="C70" s="232"/>
      <c r="D70" s="232"/>
      <c r="E70" s="232"/>
      <c r="F70" s="232"/>
      <c r="G70" s="232"/>
      <c r="H70" s="232"/>
      <c r="I70" s="232"/>
      <c r="J70" s="232"/>
      <c r="K70" s="232"/>
      <c r="L70" s="232"/>
      <c r="M70" s="232"/>
      <c r="N70" s="232"/>
      <c r="O70" s="232"/>
    </row>
    <row r="71" spans="2:15" x14ac:dyDescent="0.25">
      <c r="B71" s="232"/>
      <c r="C71" s="232"/>
      <c r="D71" s="232"/>
      <c r="E71" s="232"/>
      <c r="F71" s="232"/>
      <c r="G71" s="232"/>
      <c r="H71" s="232"/>
      <c r="I71" s="232"/>
      <c r="J71" s="232"/>
      <c r="K71" s="232"/>
      <c r="L71" s="232"/>
      <c r="M71" s="232"/>
      <c r="N71" s="232"/>
      <c r="O71" s="232"/>
    </row>
    <row r="72" spans="2:15" x14ac:dyDescent="0.25">
      <c r="B72" s="232"/>
      <c r="C72" s="232"/>
      <c r="D72" s="232"/>
      <c r="E72" s="232"/>
      <c r="F72" s="232"/>
      <c r="G72" s="232"/>
      <c r="H72" s="232"/>
      <c r="I72" s="232"/>
      <c r="J72" s="232"/>
      <c r="K72" s="232"/>
      <c r="L72" s="232"/>
      <c r="M72" s="232"/>
      <c r="N72" s="232"/>
      <c r="O72" s="232"/>
    </row>
    <row r="73" spans="2:15" x14ac:dyDescent="0.25">
      <c r="B73" s="232"/>
      <c r="C73" s="232"/>
      <c r="D73" s="232"/>
      <c r="E73" s="232"/>
      <c r="F73" s="232"/>
      <c r="G73" s="232"/>
      <c r="H73" s="232"/>
      <c r="I73" s="232"/>
      <c r="J73" s="232"/>
      <c r="K73" s="232"/>
      <c r="L73" s="232"/>
      <c r="M73" s="232"/>
      <c r="N73" s="232"/>
      <c r="O73" s="232"/>
    </row>
    <row r="74" spans="2:15" x14ac:dyDescent="0.25">
      <c r="B74" s="232"/>
      <c r="C74" s="232"/>
      <c r="D74" s="232"/>
      <c r="E74" s="232"/>
      <c r="F74" s="232"/>
      <c r="G74" s="232"/>
      <c r="H74" s="232"/>
      <c r="I74" s="232"/>
      <c r="J74" s="232"/>
      <c r="K74" s="232"/>
      <c r="L74" s="232"/>
      <c r="M74" s="232"/>
      <c r="N74" s="232"/>
      <c r="O74" s="232"/>
    </row>
    <row r="75" spans="2:15" x14ac:dyDescent="0.25">
      <c r="B75" s="232"/>
      <c r="C75" s="232"/>
      <c r="D75" s="232"/>
      <c r="E75" s="232"/>
      <c r="F75" s="232"/>
      <c r="G75" s="232"/>
      <c r="H75" s="232"/>
      <c r="I75" s="232"/>
      <c r="J75" s="232"/>
      <c r="K75" s="232"/>
      <c r="L75" s="232"/>
      <c r="M75" s="232"/>
      <c r="N75" s="232"/>
      <c r="O75" s="232"/>
    </row>
    <row r="76" spans="2:15" x14ac:dyDescent="0.25">
      <c r="B76" s="232"/>
      <c r="C76" s="232"/>
      <c r="D76" s="232"/>
      <c r="E76" s="232"/>
      <c r="F76" s="232"/>
      <c r="G76" s="232"/>
      <c r="H76" s="232"/>
      <c r="I76" s="232"/>
      <c r="J76" s="232"/>
      <c r="K76" s="232"/>
      <c r="L76" s="232"/>
      <c r="M76" s="232"/>
      <c r="N76" s="232"/>
      <c r="O76" s="232"/>
    </row>
    <row r="77" spans="2:15" x14ac:dyDescent="0.25">
      <c r="B77" s="232"/>
      <c r="C77" s="232"/>
      <c r="D77" s="232"/>
      <c r="E77" s="232"/>
      <c r="F77" s="232"/>
      <c r="G77" s="232"/>
      <c r="H77" s="232"/>
      <c r="I77" s="232"/>
      <c r="J77" s="232"/>
      <c r="K77" s="232"/>
      <c r="L77" s="232"/>
      <c r="M77" s="232"/>
      <c r="N77" s="232"/>
      <c r="O77" s="232"/>
    </row>
    <row r="78" spans="2:15" x14ac:dyDescent="0.25">
      <c r="B78" s="232"/>
      <c r="C78" s="232"/>
      <c r="D78" s="232"/>
      <c r="E78" s="232"/>
      <c r="F78" s="232"/>
      <c r="G78" s="232"/>
      <c r="H78" s="232"/>
      <c r="I78" s="232"/>
      <c r="J78" s="232"/>
      <c r="K78" s="232"/>
      <c r="L78" s="232"/>
      <c r="M78" s="232"/>
      <c r="N78" s="232"/>
      <c r="O78" s="232"/>
    </row>
    <row r="79" spans="2:15" x14ac:dyDescent="0.25">
      <c r="B79" s="232"/>
      <c r="C79" s="232"/>
      <c r="D79" s="232"/>
      <c r="E79" s="232"/>
      <c r="F79" s="232"/>
      <c r="G79" s="232"/>
      <c r="H79" s="232"/>
      <c r="I79" s="232"/>
      <c r="J79" s="232"/>
      <c r="K79" s="232"/>
      <c r="L79" s="232"/>
      <c r="M79" s="232"/>
      <c r="N79" s="232"/>
      <c r="O79" s="232"/>
    </row>
    <row r="80" spans="2:15" x14ac:dyDescent="0.25">
      <c r="B80" s="232"/>
      <c r="C80" s="232"/>
      <c r="D80" s="232"/>
      <c r="E80" s="232"/>
      <c r="F80" s="232"/>
      <c r="G80" s="232"/>
      <c r="H80" s="232"/>
      <c r="I80" s="232"/>
      <c r="J80" s="232"/>
      <c r="K80" s="232"/>
      <c r="L80" s="232"/>
      <c r="M80" s="232"/>
      <c r="N80" s="232"/>
      <c r="O80" s="232"/>
    </row>
    <row r="81" spans="2:15" x14ac:dyDescent="0.25">
      <c r="B81" s="232"/>
      <c r="C81" s="232"/>
      <c r="D81" s="232"/>
      <c r="E81" s="232"/>
      <c r="F81" s="232"/>
      <c r="G81" s="232"/>
      <c r="H81" s="232"/>
      <c r="I81" s="232"/>
      <c r="J81" s="232"/>
      <c r="K81" s="232"/>
      <c r="L81" s="232"/>
      <c r="M81" s="232"/>
      <c r="N81" s="232"/>
      <c r="O81" s="232"/>
    </row>
    <row r="82" spans="2:15" x14ac:dyDescent="0.25">
      <c r="B82" s="232"/>
      <c r="C82" s="232"/>
      <c r="D82" s="232"/>
      <c r="E82" s="232"/>
      <c r="F82" s="232"/>
      <c r="G82" s="232"/>
      <c r="H82" s="232"/>
      <c r="I82" s="232"/>
      <c r="J82" s="232"/>
      <c r="K82" s="232"/>
      <c r="L82" s="232"/>
      <c r="M82" s="232"/>
      <c r="N82" s="232"/>
      <c r="O82" s="232"/>
    </row>
    <row r="83" spans="2:15" x14ac:dyDescent="0.25">
      <c r="B83" s="232"/>
      <c r="C83" s="232"/>
      <c r="D83" s="232"/>
      <c r="E83" s="232"/>
      <c r="F83" s="232"/>
      <c r="G83" s="232"/>
      <c r="H83" s="232"/>
      <c r="I83" s="232"/>
      <c r="J83" s="232"/>
      <c r="K83" s="232"/>
      <c r="L83" s="232"/>
      <c r="M83" s="232"/>
      <c r="N83" s="232"/>
      <c r="O83" s="232"/>
    </row>
  </sheetData>
  <sheetProtection algorithmName="SHA-512" hashValue="Bvt6Hhg6QeY1GczMX4R6m/GiTr66JdgwTPhd1sGZ0q9hxjdFSLF9Zx+9O12R8PMdSMCyFLi69bOM9e+MqMPcUw==" saltValue="PYuwocHsJPtRbQsNXzzZrw==" spinCount="100000" sheet="1" objects="1" scenarios="1"/>
  <mergeCells count="37">
    <mergeCell ref="L55:P55"/>
    <mergeCell ref="S43:T43"/>
    <mergeCell ref="S49:T49"/>
    <mergeCell ref="D20:F20"/>
    <mergeCell ref="I20:K20"/>
    <mergeCell ref="E5:E17"/>
    <mergeCell ref="C24:N24"/>
    <mergeCell ref="S24:Y24"/>
    <mergeCell ref="H6:I6"/>
    <mergeCell ref="H7:I7"/>
    <mergeCell ref="H8:I8"/>
    <mergeCell ref="J5:K5"/>
    <mergeCell ref="J6:K6"/>
    <mergeCell ref="L8:M8"/>
    <mergeCell ref="L7:M7"/>
    <mergeCell ref="J7:K7"/>
    <mergeCell ref="J8:K8"/>
    <mergeCell ref="L5:M5"/>
    <mergeCell ref="L6:M6"/>
    <mergeCell ref="F8:G8"/>
    <mergeCell ref="H5:I5"/>
    <mergeCell ref="V49:W49"/>
    <mergeCell ref="V43:W43"/>
    <mergeCell ref="E2:N2"/>
    <mergeCell ref="B15:C15"/>
    <mergeCell ref="D45:D46"/>
    <mergeCell ref="E45:E46"/>
    <mergeCell ref="F45:F46"/>
    <mergeCell ref="C44:K44"/>
    <mergeCell ref="B4:C4"/>
    <mergeCell ref="B11:D11"/>
    <mergeCell ref="B12:C12"/>
    <mergeCell ref="B20:C20"/>
    <mergeCell ref="F4:M4"/>
    <mergeCell ref="F5:G5"/>
    <mergeCell ref="F6:G6"/>
    <mergeCell ref="F7:G7"/>
  </mergeCells>
  <conditionalFormatting sqref="I47:I57">
    <cfRule type="cellIs" dxfId="7" priority="1" operator="lessThan">
      <formula>-1</formula>
    </cfRule>
    <cfRule type="cellIs" dxfId="6" priority="2" operator="greaterThan">
      <formula>1</formula>
    </cfRule>
    <cfRule type="cellIs" dxfId="5" priority="3" operator="between">
      <formula>-1</formula>
      <formula>1</formula>
    </cfRule>
  </conditionalFormatting>
  <dataValidations count="5">
    <dataValidation type="list" allowBlank="1" showInputMessage="1" showErrorMessage="1" sqref="C21" xr:uid="{1D2F25DC-146A-AD48-9D10-7D888FF142D1}">
      <formula1>$AK$13:$AK$14</formula1>
    </dataValidation>
    <dataValidation type="list" allowBlank="1" showInputMessage="1" showErrorMessage="1" sqref="Y27 C22" xr:uid="{C212AFE1-D70B-45C0-937B-3D4283421DB8}">
      <formula1>$AK$17:$AK$18</formula1>
    </dataValidation>
    <dataValidation type="list" allowBlank="1" showInputMessage="1" showErrorMessage="1" sqref="C8" xr:uid="{9104CF80-9CC2-48AA-800C-27CE179BD09F}">
      <formula1>$AI$5:$AI$7</formula1>
    </dataValidation>
    <dataValidation type="list" allowBlank="1" showInputMessage="1" showErrorMessage="1" sqref="C7" xr:uid="{C74C9497-66B2-4238-8786-7D5231DE1B59}">
      <formula1>$AF$4:$AG$4</formula1>
    </dataValidation>
    <dataValidation type="list" allowBlank="1" showInputMessage="1" showErrorMessage="1" sqref="D12" xr:uid="{6F29EBC8-D7BB-4D5F-9AB5-33966AAC7722}">
      <formula1>"Percentage, Numerical"</formula1>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F9406-D212-4964-952F-021B4A18E6CE}">
  <dimension ref="A1:O66"/>
  <sheetViews>
    <sheetView topLeftCell="A16" zoomScale="115" zoomScaleNormal="115" workbookViewId="0">
      <selection activeCell="S28" sqref="S28"/>
    </sheetView>
  </sheetViews>
  <sheetFormatPr defaultColWidth="6.7109375" defaultRowHeight="12" customHeight="1" x14ac:dyDescent="0.25"/>
  <cols>
    <col min="9" max="9" width="4.28515625" customWidth="1"/>
    <col min="11" max="11" width="4.140625" customWidth="1"/>
    <col min="12" max="13" width="6.7109375" customWidth="1"/>
    <col min="14" max="14" width="11.42578125" bestFit="1" customWidth="1"/>
    <col min="17" max="17" width="6.7109375" customWidth="1"/>
  </cols>
  <sheetData>
    <row r="1" spans="1:15" ht="12" customHeight="1" x14ac:dyDescent="0.25">
      <c r="A1" s="820" t="s">
        <v>517</v>
      </c>
      <c r="B1" s="821"/>
      <c r="C1" s="821"/>
      <c r="D1" s="821"/>
      <c r="E1" s="821"/>
      <c r="F1" s="821"/>
      <c r="G1" s="821"/>
      <c r="H1" s="821"/>
      <c r="I1" s="822"/>
      <c r="J1" s="829" t="str">
        <f>'PT Data Entry'!L5</f>
        <v>Morehouse</v>
      </c>
      <c r="K1" s="830"/>
      <c r="L1" s="830"/>
      <c r="M1" s="830"/>
      <c r="N1" s="831"/>
    </row>
    <row r="2" spans="1:15" ht="12" customHeight="1" x14ac:dyDescent="0.25">
      <c r="A2" s="823"/>
      <c r="B2" s="824"/>
      <c r="C2" s="824"/>
      <c r="D2" s="824"/>
      <c r="E2" s="824"/>
      <c r="F2" s="824"/>
      <c r="G2" s="824"/>
      <c r="H2" s="824"/>
      <c r="I2" s="825"/>
      <c r="J2" s="816" t="s">
        <v>516</v>
      </c>
      <c r="K2" s="817"/>
      <c r="L2" s="817"/>
      <c r="M2" s="818">
        <f>'PT Data Entry'!C6</f>
        <v>44559</v>
      </c>
      <c r="N2" s="819"/>
      <c r="O2" s="445"/>
    </row>
    <row r="3" spans="1:15" ht="12" customHeight="1" x14ac:dyDescent="0.25">
      <c r="A3" s="823"/>
      <c r="B3" s="824"/>
      <c r="C3" s="824"/>
      <c r="D3" s="824"/>
      <c r="E3" s="824"/>
      <c r="F3" s="824"/>
      <c r="G3" s="824"/>
      <c r="H3" s="824"/>
      <c r="I3" s="825"/>
      <c r="J3" s="816"/>
      <c r="K3" s="817"/>
      <c r="L3" s="817"/>
      <c r="M3" s="818"/>
      <c r="N3" s="819"/>
      <c r="O3" s="445"/>
    </row>
    <row r="4" spans="1:15" ht="12" customHeight="1" thickBot="1" x14ac:dyDescent="0.3">
      <c r="A4" s="826" t="str">
        <f>CONCATENATE("Morehouse PT KIT ", 'PT Data Entry'!C7)</f>
        <v>Morehouse PT KIT 100K</v>
      </c>
      <c r="B4" s="827"/>
      <c r="C4" s="827"/>
      <c r="D4" s="827"/>
      <c r="E4" s="827"/>
      <c r="F4" s="827"/>
      <c r="G4" s="827"/>
      <c r="H4" s="827"/>
      <c r="I4" s="827"/>
      <c r="J4" s="826" t="str">
        <f>CONCATENATE(" Mode Tested: ", 'PT Data Entry'!$C$9)</f>
        <v xml:space="preserve"> Mode Tested: Compression </v>
      </c>
      <c r="K4" s="827"/>
      <c r="L4" s="827"/>
      <c r="M4" s="827"/>
      <c r="N4" s="828"/>
      <c r="O4" s="445"/>
    </row>
    <row r="5" spans="1:15" ht="7.5" customHeight="1" x14ac:dyDescent="0.25"/>
    <row r="6" spans="1:15" ht="12" customHeight="1" x14ac:dyDescent="0.25">
      <c r="A6" s="590" t="s">
        <v>515</v>
      </c>
      <c r="B6" s="590"/>
      <c r="C6" s="590"/>
      <c r="D6" s="590"/>
      <c r="J6" s="590" t="str">
        <f>CONCATENATE('PT Data Entry'!C5)</f>
        <v>Morehouse</v>
      </c>
      <c r="K6" s="590"/>
      <c r="L6" s="590"/>
      <c r="M6" s="590"/>
      <c r="N6" s="590"/>
      <c r="O6" s="34"/>
    </row>
    <row r="7" spans="1:15" ht="12" customHeight="1" x14ac:dyDescent="0.25">
      <c r="A7" s="590" t="str">
        <f>CONCATENATE("Machine: ",'PT Data Entry'!H5)</f>
        <v>Machine: Morehouse UCM</v>
      </c>
      <c r="B7" s="590"/>
      <c r="C7" s="590"/>
      <c r="D7" s="590"/>
      <c r="J7" s="590" t="str">
        <f>CONCATENATE('PT Data Entry'!L6)</f>
        <v>1748 Sixth Ave</v>
      </c>
      <c r="K7" s="590"/>
      <c r="L7" s="590"/>
      <c r="M7" s="590"/>
      <c r="N7" s="590"/>
      <c r="O7" s="34"/>
    </row>
    <row r="8" spans="1:15" ht="12" customHeight="1" x14ac:dyDescent="0.25">
      <c r="A8" s="590" t="str">
        <f>CONCATENATE('PT Data Entry'!H6,": ", "S/N ",'PT Data Entry'!H8)</f>
        <v>Load Cell: S/N P-5467</v>
      </c>
      <c r="B8" s="590"/>
      <c r="C8" s="590"/>
      <c r="D8" s="590"/>
      <c r="J8" s="590" t="str">
        <f>CONCATENATE('PT Data Entry'!L7)</f>
        <v>York, PA</v>
      </c>
      <c r="K8" s="590"/>
      <c r="L8" s="590"/>
      <c r="M8" s="590"/>
      <c r="N8" s="590"/>
      <c r="O8" s="34"/>
    </row>
    <row r="9" spans="1:15" ht="12" customHeight="1" x14ac:dyDescent="0.25">
      <c r="A9" s="590" t="str">
        <f>CONCATENATE('PT Data Entry'!F7,": ",'PT Data Entry'!H7)</f>
        <v>Model: Precision</v>
      </c>
      <c r="B9" s="590"/>
      <c r="C9" s="590"/>
      <c r="D9" s="590"/>
      <c r="J9" s="590" t="str">
        <f>CONCATENATE('PT Data Entry'!L8)</f>
        <v>17403</v>
      </c>
      <c r="K9" s="590"/>
      <c r="L9" s="590"/>
      <c r="M9" s="590"/>
      <c r="N9" s="590"/>
      <c r="O9" s="34"/>
    </row>
    <row r="10" spans="1:15" ht="7.5" customHeight="1" x14ac:dyDescent="0.25"/>
    <row r="11" spans="1:15" ht="12" customHeight="1" x14ac:dyDescent="0.25">
      <c r="A11" s="590" t="str">
        <f>CONCATENATE("ILC TEST TO: ",MAX( 'PT Data Entry'!C28:C38)," ",'PT Data Entry'!C26)</f>
        <v>ILC TEST TO: 100000 lbf</v>
      </c>
      <c r="B11" s="590"/>
      <c r="C11" s="590"/>
      <c r="D11" s="590"/>
      <c r="E11" s="590"/>
      <c r="F11" s="590"/>
      <c r="G11" s="590"/>
      <c r="H11" s="590"/>
      <c r="I11" s="590"/>
      <c r="J11" s="590"/>
      <c r="K11" s="590"/>
      <c r="L11" s="590"/>
      <c r="M11" s="590"/>
      <c r="N11" s="590"/>
      <c r="O11" s="444"/>
    </row>
    <row r="12" spans="1:15" ht="12" customHeight="1" x14ac:dyDescent="0.25">
      <c r="A12" s="590" t="s">
        <v>514</v>
      </c>
      <c r="B12" s="590"/>
      <c r="C12" s="590"/>
      <c r="D12" s="590"/>
      <c r="E12" s="590"/>
      <c r="F12" s="590"/>
      <c r="G12" s="590"/>
      <c r="H12" s="590"/>
      <c r="I12" s="590"/>
      <c r="J12" s="590"/>
      <c r="K12" s="590"/>
      <c r="L12" s="590"/>
      <c r="M12" s="590"/>
      <c r="N12" s="590"/>
      <c r="O12" s="34"/>
    </row>
    <row r="13" spans="1:15" ht="12" customHeight="1" x14ac:dyDescent="0.25">
      <c r="A13" s="590" t="s">
        <v>513</v>
      </c>
      <c r="B13" s="590"/>
      <c r="C13" s="590"/>
      <c r="D13" s="590"/>
      <c r="E13" s="590"/>
      <c r="F13" s="590"/>
      <c r="G13" s="590"/>
      <c r="H13" s="590"/>
      <c r="I13" s="590"/>
      <c r="J13" s="590"/>
      <c r="K13" s="590"/>
      <c r="L13" s="590"/>
      <c r="M13" s="590"/>
      <c r="N13" s="590"/>
      <c r="O13" s="34"/>
    </row>
    <row r="14" spans="1:15" ht="8.25" customHeight="1" x14ac:dyDescent="0.25"/>
    <row r="15" spans="1:15" ht="12" customHeight="1" x14ac:dyDescent="0.25">
      <c r="A15" s="590" t="s">
        <v>512</v>
      </c>
      <c r="B15" s="590"/>
      <c r="C15" s="590"/>
      <c r="D15" s="590"/>
      <c r="E15" s="590"/>
      <c r="F15" s="590"/>
      <c r="G15" s="590"/>
      <c r="H15" s="590"/>
      <c r="I15" s="590"/>
      <c r="J15" s="590"/>
      <c r="K15" s="590"/>
      <c r="L15" s="590"/>
      <c r="M15" s="590"/>
      <c r="N15" s="590"/>
    </row>
    <row r="16" spans="1:15" ht="12" customHeight="1" x14ac:dyDescent="0.25">
      <c r="A16" s="590" t="s">
        <v>511</v>
      </c>
      <c r="B16" s="590"/>
      <c r="C16" s="590"/>
      <c r="D16" s="590"/>
      <c r="E16" s="590"/>
      <c r="F16" s="590"/>
      <c r="G16" s="590"/>
      <c r="H16" s="590"/>
      <c r="I16" s="590"/>
      <c r="J16" s="590"/>
      <c r="K16" s="590"/>
      <c r="L16" s="590"/>
      <c r="M16" s="590"/>
      <c r="N16" s="590"/>
      <c r="O16" s="34"/>
    </row>
    <row r="17" spans="1:15" ht="12" customHeight="1" x14ac:dyDescent="0.25">
      <c r="A17" s="590" t="s">
        <v>510</v>
      </c>
      <c r="B17" s="590"/>
      <c r="C17" s="590"/>
      <c r="D17" s="590"/>
      <c r="E17" s="590"/>
      <c r="F17" s="590"/>
      <c r="G17" s="590"/>
      <c r="H17" s="590"/>
      <c r="I17" s="590"/>
      <c r="J17" s="590"/>
      <c r="K17" s="590"/>
      <c r="L17" s="590"/>
      <c r="M17" s="590"/>
      <c r="N17" s="590"/>
    </row>
    <row r="18" spans="1:15" ht="12" customHeight="1" x14ac:dyDescent="0.25">
      <c r="A18" s="590" t="s">
        <v>509</v>
      </c>
      <c r="B18" s="590"/>
      <c r="C18" s="590"/>
      <c r="D18" s="590"/>
      <c r="E18" s="590"/>
      <c r="F18" s="590"/>
      <c r="G18" s="590"/>
      <c r="H18" s="590"/>
      <c r="I18" s="590"/>
      <c r="J18" s="590"/>
      <c r="K18" s="590"/>
      <c r="L18" s="590"/>
      <c r="M18" s="590"/>
      <c r="N18" s="590"/>
    </row>
    <row r="19" spans="1:15" ht="8.25" customHeight="1" thickBot="1" x14ac:dyDescent="0.3"/>
    <row r="20" spans="1:15" ht="12" customHeight="1" x14ac:dyDescent="0.25">
      <c r="A20" s="859" t="s">
        <v>508</v>
      </c>
      <c r="B20" s="860"/>
      <c r="C20" s="860"/>
      <c r="D20" s="860" t="s">
        <v>507</v>
      </c>
      <c r="E20" s="860"/>
      <c r="F20" s="860"/>
      <c r="G20" s="860"/>
      <c r="H20" s="860" t="s">
        <v>506</v>
      </c>
      <c r="I20" s="860"/>
      <c r="J20" s="860"/>
      <c r="K20" s="860"/>
      <c r="L20" s="868" t="s">
        <v>68</v>
      </c>
      <c r="M20" s="860" t="s">
        <v>505</v>
      </c>
      <c r="N20" s="832" t="s">
        <v>504</v>
      </c>
      <c r="O20" s="443"/>
    </row>
    <row r="21" spans="1:15" ht="12" customHeight="1" x14ac:dyDescent="0.25">
      <c r="A21" s="861"/>
      <c r="B21" s="862"/>
      <c r="C21" s="862"/>
      <c r="D21" s="862"/>
      <c r="E21" s="862"/>
      <c r="F21" s="862"/>
      <c r="G21" s="862"/>
      <c r="H21" s="862"/>
      <c r="I21" s="862"/>
      <c r="J21" s="862"/>
      <c r="K21" s="862"/>
      <c r="L21" s="869"/>
      <c r="M21" s="862"/>
      <c r="N21" s="833"/>
      <c r="O21" s="443"/>
    </row>
    <row r="22" spans="1:15" ht="12" customHeight="1" thickBot="1" x14ac:dyDescent="0.3">
      <c r="A22" s="863"/>
      <c r="B22" s="864"/>
      <c r="C22" s="864"/>
      <c r="D22" s="864"/>
      <c r="E22" s="864"/>
      <c r="F22" s="864"/>
      <c r="G22" s="864"/>
      <c r="H22" s="864"/>
      <c r="I22" s="864"/>
      <c r="J22" s="864"/>
      <c r="K22" s="864"/>
      <c r="L22" s="870"/>
      <c r="M22" s="864"/>
      <c r="N22" s="834"/>
    </row>
    <row r="23" spans="1:15" ht="12" customHeight="1" x14ac:dyDescent="0.25">
      <c r="A23" s="865" t="str">
        <f>CONCATENATE('PT Data Entry'!C28," ",'PT Data Entry'!$C$26," applied in ",'PT Data Entry'!$C$9)</f>
        <v xml:space="preserve">1000 lbf applied in Compression </v>
      </c>
      <c r="B23" s="835"/>
      <c r="C23" s="835"/>
      <c r="D23" s="866">
        <f>'PT Data Entry'!E47</f>
        <v>1000.0337578075655</v>
      </c>
      <c r="E23" s="866"/>
      <c r="F23" s="866">
        <f>'PT Data Entry'!D47</f>
        <v>1000</v>
      </c>
      <c r="G23" s="866"/>
      <c r="H23" s="837">
        <f>'PT Data Entry'!G47</f>
        <v>0.1</v>
      </c>
      <c r="I23" s="837"/>
      <c r="J23" s="837">
        <f>'PT Data Entry'!H47</f>
        <v>2.0883886398635458</v>
      </c>
      <c r="K23" s="837"/>
      <c r="L23" s="846">
        <f>'PT Data Entry'!I47</f>
        <v>-1.6146023972612233E-2</v>
      </c>
      <c r="M23" s="835" t="str">
        <f>'PT Data Entry'!J47</f>
        <v>Pass</v>
      </c>
      <c r="N23" s="843">
        <f>'PT Data Entry'!K47</f>
        <v>-0.50582523074613583</v>
      </c>
    </row>
    <row r="24" spans="1:15" ht="12" customHeight="1" x14ac:dyDescent="0.25">
      <c r="A24" s="856"/>
      <c r="B24" s="836"/>
      <c r="C24" s="836"/>
      <c r="D24" s="852"/>
      <c r="E24" s="852"/>
      <c r="F24" s="852"/>
      <c r="G24" s="852"/>
      <c r="H24" s="838"/>
      <c r="I24" s="838"/>
      <c r="J24" s="838"/>
      <c r="K24" s="838"/>
      <c r="L24" s="847"/>
      <c r="M24" s="836"/>
      <c r="N24" s="844"/>
    </row>
    <row r="25" spans="1:15" ht="12" customHeight="1" x14ac:dyDescent="0.25">
      <c r="A25" s="855" t="str">
        <f>CONCATENATE('PT Data Entry'!C29," ",'PT Data Entry'!$C$26," applied in ",'PT Data Entry'!$C$9)</f>
        <v xml:space="preserve">10000 lbf applied in Compression </v>
      </c>
      <c r="B25" s="854"/>
      <c r="C25" s="854"/>
      <c r="D25" s="815">
        <f>'PT Data Entry'!E48</f>
        <v>9999.9358551666282</v>
      </c>
      <c r="E25" s="815"/>
      <c r="F25" s="815">
        <f>'PT Data Entry'!D48</f>
        <v>10000</v>
      </c>
      <c r="G25" s="815"/>
      <c r="H25" s="839">
        <f>'PT Data Entry'!G48</f>
        <v>1</v>
      </c>
      <c r="I25" s="839"/>
      <c r="J25" s="839">
        <f>'PT Data Entry'!H48</f>
        <v>2.0944476864106947</v>
      </c>
      <c r="K25" s="839"/>
      <c r="L25" s="848">
        <f>'PT Data Entry'!I48</f>
        <v>2.7637568934242809E-2</v>
      </c>
      <c r="M25" s="854" t="str">
        <f>'PT Data Entry'!J48</f>
        <v>Pass</v>
      </c>
      <c r="N25" s="845">
        <f>'PT Data Entry'!K48</f>
        <v>0.28176631299823701</v>
      </c>
    </row>
    <row r="26" spans="1:15" ht="12" customHeight="1" x14ac:dyDescent="0.25">
      <c r="A26" s="855"/>
      <c r="B26" s="854"/>
      <c r="C26" s="854"/>
      <c r="D26" s="815"/>
      <c r="E26" s="815"/>
      <c r="F26" s="815"/>
      <c r="G26" s="815"/>
      <c r="H26" s="839"/>
      <c r="I26" s="839"/>
      <c r="J26" s="839"/>
      <c r="K26" s="839"/>
      <c r="L26" s="848"/>
      <c r="M26" s="854"/>
      <c r="N26" s="845"/>
    </row>
    <row r="27" spans="1:15" ht="12" customHeight="1" x14ac:dyDescent="0.25">
      <c r="A27" s="856" t="str">
        <f>CONCATENATE('PT Data Entry'!C30," ",'PT Data Entry'!$C$26," applied in ",'PT Data Entry'!$C$9,)</f>
        <v xml:space="preserve">20000 lbf applied in Compression </v>
      </c>
      <c r="B27" s="836"/>
      <c r="C27" s="836"/>
      <c r="D27" s="852">
        <f>'PT Data Entry'!E49</f>
        <v>19999.898343207333</v>
      </c>
      <c r="E27" s="852"/>
      <c r="F27" s="852">
        <f>'PT Data Entry'!D49</f>
        <v>20000</v>
      </c>
      <c r="G27" s="852"/>
      <c r="H27" s="838">
        <f>'PT Data Entry'!G49</f>
        <v>2</v>
      </c>
      <c r="I27" s="838"/>
      <c r="J27" s="838">
        <f>'PT Data Entry'!H49</f>
        <v>2.1127023243020093</v>
      </c>
      <c r="K27" s="838"/>
      <c r="L27" s="849">
        <f>'PT Data Entry'!I49</f>
        <v>3.49430748893267E-2</v>
      </c>
      <c r="M27" s="836" t="str">
        <f>'PT Data Entry'!J49</f>
        <v>Pass</v>
      </c>
      <c r="N27" s="844">
        <f>'PT Data Entry'!K49</f>
        <v>0.86536291725837489</v>
      </c>
    </row>
    <row r="28" spans="1:15" ht="12" customHeight="1" x14ac:dyDescent="0.25">
      <c r="A28" s="856"/>
      <c r="B28" s="836"/>
      <c r="C28" s="836"/>
      <c r="D28" s="852"/>
      <c r="E28" s="852"/>
      <c r="F28" s="852"/>
      <c r="G28" s="852"/>
      <c r="H28" s="838"/>
      <c r="I28" s="838"/>
      <c r="J28" s="838"/>
      <c r="K28" s="838"/>
      <c r="L28" s="849"/>
      <c r="M28" s="836"/>
      <c r="N28" s="844"/>
    </row>
    <row r="29" spans="1:15" ht="12" customHeight="1" x14ac:dyDescent="0.25">
      <c r="A29" s="855" t="str">
        <f>CONCATENATE('PT Data Entry'!C31," ",'PT Data Entry'!$C$26," applied in ",'PT Data Entry'!$C$9,)</f>
        <v xml:space="preserve">30000 lbf applied in Compression </v>
      </c>
      <c r="B29" s="854"/>
      <c r="C29" s="854"/>
      <c r="D29" s="815">
        <f>'PT Data Entry'!E50</f>
        <v>29999.95278163657</v>
      </c>
      <c r="E29" s="815"/>
      <c r="F29" s="815">
        <f>'PT Data Entry'!D50</f>
        <v>30000</v>
      </c>
      <c r="G29" s="815"/>
      <c r="H29" s="839">
        <f>'PT Data Entry'!G50</f>
        <v>3</v>
      </c>
      <c r="I29" s="839"/>
      <c r="J29" s="839">
        <f>'PT Data Entry'!H50</f>
        <v>2.1427811626741335</v>
      </c>
      <c r="K29" s="839"/>
      <c r="L29" s="850">
        <f>'PT Data Entry'!I50</f>
        <v>1.2807874348141218E-2</v>
      </c>
      <c r="M29" s="854" t="str">
        <f>'PT Data Entry'!J50</f>
        <v>Pass</v>
      </c>
      <c r="N29" s="845">
        <f>'PT Data Entry'!K50</f>
        <v>0.39957207136244155</v>
      </c>
    </row>
    <row r="30" spans="1:15" ht="12" customHeight="1" x14ac:dyDescent="0.25">
      <c r="A30" s="855"/>
      <c r="B30" s="854"/>
      <c r="C30" s="854"/>
      <c r="D30" s="815"/>
      <c r="E30" s="815"/>
      <c r="F30" s="815"/>
      <c r="G30" s="815"/>
      <c r="H30" s="839"/>
      <c r="I30" s="839"/>
      <c r="J30" s="839"/>
      <c r="K30" s="839"/>
      <c r="L30" s="850"/>
      <c r="M30" s="854"/>
      <c r="N30" s="845"/>
    </row>
    <row r="31" spans="1:15" ht="12" customHeight="1" x14ac:dyDescent="0.25">
      <c r="A31" s="856" t="str">
        <f>CONCATENATE('PT Data Entry'!C32," ",'PT Data Entry'!$C$26," applied in ",'PT Data Entry'!$C$9,)</f>
        <v xml:space="preserve">40000 lbf applied in Compression </v>
      </c>
      <c r="B31" s="836"/>
      <c r="C31" s="836"/>
      <c r="D31" s="852">
        <f>'PT Data Entry'!E51</f>
        <v>40000.078342081171</v>
      </c>
      <c r="E31" s="852"/>
      <c r="F31" s="852">
        <f>'PT Data Entry'!D51</f>
        <v>40000</v>
      </c>
      <c r="G31" s="852"/>
      <c r="H31" s="838">
        <f>'PT Data Entry'!G51</f>
        <v>4</v>
      </c>
      <c r="I31" s="838"/>
      <c r="J31" s="838">
        <f>'PT Data Entry'!H51</f>
        <v>2.1841957584225624</v>
      </c>
      <c r="K31" s="838"/>
      <c r="L31" s="849">
        <f>'PT Data Entry'!I51</f>
        <v>-1.718974450718146E-2</v>
      </c>
      <c r="M31" s="836" t="str">
        <f>'PT Data Entry'!J51</f>
        <v>Pass</v>
      </c>
      <c r="N31" s="844">
        <f>'PT Data Entry'!K51</f>
        <v>-0.66276365971892781</v>
      </c>
    </row>
    <row r="32" spans="1:15" ht="12" customHeight="1" x14ac:dyDescent="0.25">
      <c r="A32" s="856"/>
      <c r="B32" s="836"/>
      <c r="C32" s="836"/>
      <c r="D32" s="852"/>
      <c r="E32" s="852"/>
      <c r="F32" s="852"/>
      <c r="G32" s="852"/>
      <c r="H32" s="838"/>
      <c r="I32" s="838"/>
      <c r="J32" s="838"/>
      <c r="K32" s="838"/>
      <c r="L32" s="849"/>
      <c r="M32" s="836"/>
      <c r="N32" s="844"/>
    </row>
    <row r="33" spans="1:14" ht="12" customHeight="1" x14ac:dyDescent="0.25">
      <c r="A33" s="855" t="str">
        <f>CONCATENATE('PT Data Entry'!C33," ",'PT Data Entry'!$C$26," applied in ",'PT Data Entry'!$C$9)</f>
        <v xml:space="preserve">50000 lbf applied in Compression </v>
      </c>
      <c r="B33" s="854"/>
      <c r="C33" s="854"/>
      <c r="D33" s="815">
        <f>'PT Data Entry'!E52</f>
        <v>50000.253883768666</v>
      </c>
      <c r="E33" s="815"/>
      <c r="F33" s="815">
        <f>'PT Data Entry'!D52</f>
        <v>50000</v>
      </c>
      <c r="G33" s="815"/>
      <c r="H33" s="839">
        <f>'PT Data Entry'!G52</f>
        <v>5</v>
      </c>
      <c r="I33" s="839"/>
      <c r="J33" s="839">
        <f>'PT Data Entry'!H52</f>
        <v>2.2363164156959345</v>
      </c>
      <c r="K33" s="839"/>
      <c r="L33" s="848">
        <f>'PT Data Entry'!I52</f>
        <v>-4.6351764002901523E-2</v>
      </c>
      <c r="M33" s="854" t="str">
        <f>'PT Data Entry'!J52</f>
        <v>Pass</v>
      </c>
      <c r="N33" s="845">
        <f>'PT Data Entry'!K52</f>
        <v>-1.0752840120262688</v>
      </c>
    </row>
    <row r="34" spans="1:14" ht="12" customHeight="1" x14ac:dyDescent="0.25">
      <c r="A34" s="855"/>
      <c r="B34" s="854"/>
      <c r="C34" s="854"/>
      <c r="D34" s="815"/>
      <c r="E34" s="815"/>
      <c r="F34" s="815"/>
      <c r="G34" s="815"/>
      <c r="H34" s="839"/>
      <c r="I34" s="839"/>
      <c r="J34" s="839"/>
      <c r="K34" s="839"/>
      <c r="L34" s="848"/>
      <c r="M34" s="854"/>
      <c r="N34" s="845"/>
    </row>
    <row r="35" spans="1:14" ht="12" customHeight="1" x14ac:dyDescent="0.25">
      <c r="A35" s="856" t="str">
        <f>CONCATENATE('PT Data Entry'!C34," ",'PT Data Entry'!$C$26," applied in ",'PT Data Entry'!$C$9)</f>
        <v xml:space="preserve">60000 lbf applied in Compression </v>
      </c>
      <c r="B35" s="836"/>
      <c r="C35" s="836"/>
      <c r="D35" s="852">
        <f>'PT Data Entry'!E53</f>
        <v>60000.458888436355</v>
      </c>
      <c r="E35" s="852"/>
      <c r="F35" s="852">
        <f>'PT Data Entry'!D53</f>
        <v>60000</v>
      </c>
      <c r="G35" s="852"/>
      <c r="H35" s="838">
        <f>'PT Data Entry'!G53</f>
        <v>6</v>
      </c>
      <c r="I35" s="838"/>
      <c r="J35" s="838">
        <f>'PT Data Entry'!H53</f>
        <v>2.2984149127411944</v>
      </c>
      <c r="K35" s="838"/>
      <c r="L35" s="847">
        <f>'PT Data Entry'!I53</f>
        <v>-7.1420520133843091E-2</v>
      </c>
      <c r="M35" s="836" t="str">
        <f>'PT Data Entry'!J55</f>
        <v>Pass</v>
      </c>
      <c r="N35" s="844">
        <f>'PT Data Entry'!K53</f>
        <v>-1.2975882565056176</v>
      </c>
    </row>
    <row r="36" spans="1:14" ht="12" customHeight="1" x14ac:dyDescent="0.25">
      <c r="A36" s="856"/>
      <c r="B36" s="836"/>
      <c r="C36" s="836"/>
      <c r="D36" s="852"/>
      <c r="E36" s="852"/>
      <c r="F36" s="852"/>
      <c r="G36" s="852"/>
      <c r="H36" s="838"/>
      <c r="I36" s="838"/>
      <c r="J36" s="838"/>
      <c r="K36" s="838"/>
      <c r="L36" s="847"/>
      <c r="M36" s="836"/>
      <c r="N36" s="844"/>
    </row>
    <row r="37" spans="1:14" ht="12" customHeight="1" x14ac:dyDescent="0.25">
      <c r="A37" s="855" t="str">
        <f>CONCATENATE('PT Data Entry'!C35," ",'PT Data Entry'!$C$26," applied in ",'PT Data Entry'!$C$9)</f>
        <v xml:space="preserve">70000 lbf applied in Compression </v>
      </c>
      <c r="B37" s="854"/>
      <c r="C37" s="854"/>
      <c r="D37" s="815">
        <f>'PT Data Entry'!E54</f>
        <v>70000.673376945051</v>
      </c>
      <c r="E37" s="815"/>
      <c r="F37" s="815">
        <f>'PT Data Entry'!D54</f>
        <v>70000</v>
      </c>
      <c r="G37" s="815"/>
      <c r="H37" s="839">
        <f>'PT Data Entry'!G54</f>
        <v>7</v>
      </c>
      <c r="I37" s="839"/>
      <c r="J37" s="839">
        <f>'PT Data Entry'!H54</f>
        <v>2.3697069673508393</v>
      </c>
      <c r="K37" s="839"/>
      <c r="L37" s="848">
        <f>'PT Data Entry'!I54</f>
        <v>-9.1117174050294042E-2</v>
      </c>
      <c r="M37" s="836" t="str">
        <f>'PT Data Entry'!J57</f>
        <v>Pass</v>
      </c>
      <c r="N37" s="845">
        <f>'PT Data Entry'!K54</f>
        <v>-1.4295694109697854</v>
      </c>
    </row>
    <row r="38" spans="1:14" ht="12" customHeight="1" x14ac:dyDescent="0.25">
      <c r="A38" s="855"/>
      <c r="B38" s="854"/>
      <c r="C38" s="854"/>
      <c r="D38" s="815"/>
      <c r="E38" s="815"/>
      <c r="F38" s="815"/>
      <c r="G38" s="815"/>
      <c r="H38" s="839"/>
      <c r="I38" s="839"/>
      <c r="J38" s="839"/>
      <c r="K38" s="839"/>
      <c r="L38" s="848"/>
      <c r="M38" s="836"/>
      <c r="N38" s="845"/>
    </row>
    <row r="39" spans="1:14" ht="12" customHeight="1" x14ac:dyDescent="0.25">
      <c r="A39" s="856" t="str">
        <f>CONCATENATE('PT Data Entry'!C36," ",'PT Data Entry'!$C$26," applied in ",'PT Data Entry'!$C$9)</f>
        <v xml:space="preserve">80000 lbf applied in Compression </v>
      </c>
      <c r="B39" s="836"/>
      <c r="C39" s="836"/>
      <c r="D39" s="852">
        <f>'PT Data Entry'!E55</f>
        <v>80000.877704486687</v>
      </c>
      <c r="E39" s="852"/>
      <c r="F39" s="852">
        <f>'PT Data Entry'!D55</f>
        <v>80000</v>
      </c>
      <c r="G39" s="852"/>
      <c r="H39" s="838">
        <f>'PT Data Entry'!G55</f>
        <v>8</v>
      </c>
      <c r="I39" s="838"/>
      <c r="J39" s="838">
        <f>'PT Data Entry'!H55</f>
        <v>2.4493899467236964</v>
      </c>
      <c r="K39" s="838"/>
      <c r="L39" s="849">
        <f>'PT Data Entry'!I55</f>
        <v>-0.1049061176424612</v>
      </c>
      <c r="M39" s="836" t="str">
        <f>'PT Data Entry'!J55</f>
        <v>Pass</v>
      </c>
      <c r="N39" s="844">
        <f>'PT Data Entry'!K55</f>
        <v>-1.4912060791105368</v>
      </c>
    </row>
    <row r="40" spans="1:14" ht="12" customHeight="1" x14ac:dyDescent="0.25">
      <c r="A40" s="856"/>
      <c r="B40" s="836"/>
      <c r="C40" s="836"/>
      <c r="D40" s="852"/>
      <c r="E40" s="852"/>
      <c r="F40" s="852"/>
      <c r="G40" s="852"/>
      <c r="H40" s="838"/>
      <c r="I40" s="838"/>
      <c r="J40" s="838"/>
      <c r="K40" s="838"/>
      <c r="L40" s="849"/>
      <c r="M40" s="836"/>
      <c r="N40" s="844"/>
    </row>
    <row r="41" spans="1:14" ht="12" customHeight="1" x14ac:dyDescent="0.25">
      <c r="A41" s="855" t="str">
        <f>CONCATENATE('PT Data Entry'!C37," ",'PT Data Entry'!$C$26," applied in ",'PT Data Entry'!$C$9)</f>
        <v xml:space="preserve">90000 lbf applied in Compression </v>
      </c>
      <c r="B41" s="854"/>
      <c r="C41" s="854"/>
      <c r="D41" s="815">
        <f>'PT Data Entry'!E56</f>
        <v>90001.052335678294</v>
      </c>
      <c r="E41" s="815"/>
      <c r="F41" s="815">
        <f>'PT Data Entry'!D56</f>
        <v>90000</v>
      </c>
      <c r="G41" s="815"/>
      <c r="H41" s="839">
        <f>'PT Data Entry'!G56</f>
        <v>9</v>
      </c>
      <c r="I41" s="839"/>
      <c r="J41" s="839">
        <f>'PT Data Entry'!H56</f>
        <v>2.5366732369603917</v>
      </c>
      <c r="K41" s="839"/>
      <c r="L41" s="850">
        <f>'PT Data Entry'!I56</f>
        <v>-0.11254141082910249</v>
      </c>
      <c r="M41" s="854" t="str">
        <f>'PT Data Entry'!J56</f>
        <v>Pass</v>
      </c>
      <c r="N41" s="845">
        <f>'PT Data Entry'!K56</f>
        <v>-1.4891577953782269</v>
      </c>
    </row>
    <row r="42" spans="1:14" ht="12" customHeight="1" x14ac:dyDescent="0.25">
      <c r="A42" s="855"/>
      <c r="B42" s="854"/>
      <c r="C42" s="854"/>
      <c r="D42" s="815"/>
      <c r="E42" s="815"/>
      <c r="F42" s="815"/>
      <c r="G42" s="815"/>
      <c r="H42" s="839"/>
      <c r="I42" s="839"/>
      <c r="J42" s="839"/>
      <c r="K42" s="839"/>
      <c r="L42" s="850"/>
      <c r="M42" s="854"/>
      <c r="N42" s="845"/>
    </row>
    <row r="43" spans="1:14" ht="12" customHeight="1" x14ac:dyDescent="0.25">
      <c r="A43" s="856" t="str">
        <f>CONCATENATE('PT Data Entry'!C38," ",'PT Data Entry'!$C$26," applied in ",'PT Data Entry'!$C$9)</f>
        <v xml:space="preserve">100000 lbf applied in Compression </v>
      </c>
      <c r="B43" s="836"/>
      <c r="C43" s="836"/>
      <c r="D43" s="852">
        <f>'PT Data Entry'!E57</f>
        <v>100001.17761559598</v>
      </c>
      <c r="E43" s="852"/>
      <c r="F43" s="852">
        <f>'PT Data Entry'!D57</f>
        <v>100000</v>
      </c>
      <c r="G43" s="852"/>
      <c r="H43" s="838">
        <f>'PT Data Entry'!G57</f>
        <v>10</v>
      </c>
      <c r="I43" s="838"/>
      <c r="J43" s="838">
        <f>'PT Data Entry'!H57</f>
        <v>2.6308004696500857</v>
      </c>
      <c r="K43" s="838"/>
      <c r="L43" s="847">
        <f>'PT Data Entry'!I57</f>
        <v>-0.11388638745164237</v>
      </c>
      <c r="M43" s="836" t="str">
        <f>'PT Data Entry'!J57</f>
        <v>Pass</v>
      </c>
      <c r="N43" s="844">
        <f>'PT Data Entry'!K57</f>
        <v>-1.4262786460330044</v>
      </c>
    </row>
    <row r="44" spans="1:14" ht="12" customHeight="1" thickBot="1" x14ac:dyDescent="0.3">
      <c r="A44" s="857"/>
      <c r="B44" s="858"/>
      <c r="C44" s="858"/>
      <c r="D44" s="853"/>
      <c r="E44" s="853"/>
      <c r="F44" s="853"/>
      <c r="G44" s="853"/>
      <c r="H44" s="871"/>
      <c r="I44" s="871"/>
      <c r="J44" s="871"/>
      <c r="K44" s="871"/>
      <c r="L44" s="867"/>
      <c r="M44" s="858"/>
      <c r="N44" s="851"/>
    </row>
    <row r="45" spans="1:14" ht="12" customHeight="1" x14ac:dyDescent="0.25">
      <c r="A45" s="225"/>
      <c r="B45" s="225"/>
      <c r="C45" s="225"/>
      <c r="D45" s="225"/>
      <c r="E45" s="225"/>
      <c r="F45" s="225"/>
      <c r="G45" s="225"/>
      <c r="H45" s="225"/>
      <c r="I45" s="225"/>
      <c r="J45" s="225"/>
      <c r="K45" s="225"/>
      <c r="L45" s="225"/>
      <c r="M45" s="225"/>
      <c r="N45" s="225"/>
    </row>
    <row r="46" spans="1:14" ht="12" customHeight="1" x14ac:dyDescent="0.25">
      <c r="A46" s="225"/>
      <c r="B46" s="225"/>
      <c r="C46" s="225"/>
      <c r="D46" s="225"/>
      <c r="E46" s="225"/>
      <c r="F46" s="225"/>
      <c r="G46" s="225"/>
      <c r="H46" s="225"/>
      <c r="I46" s="225"/>
      <c r="J46" s="225"/>
      <c r="K46" s="225"/>
      <c r="L46" s="225"/>
      <c r="M46" s="225"/>
      <c r="N46" s="225"/>
    </row>
    <row r="47" spans="1:14" ht="12" customHeight="1" x14ac:dyDescent="0.25">
      <c r="A47" s="225"/>
      <c r="B47" s="225"/>
      <c r="C47" s="225"/>
      <c r="D47" s="225"/>
      <c r="E47" s="225"/>
      <c r="F47" s="225"/>
      <c r="G47" s="225"/>
      <c r="H47" s="225"/>
      <c r="I47" s="225"/>
      <c r="J47" s="225"/>
      <c r="K47" s="225"/>
      <c r="L47" s="225"/>
      <c r="M47" s="225"/>
      <c r="N47" s="225"/>
    </row>
    <row r="48" spans="1:14" ht="12" customHeight="1" x14ac:dyDescent="0.25">
      <c r="E48" s="232"/>
      <c r="F48" s="232"/>
      <c r="G48" s="232"/>
      <c r="H48" s="232"/>
      <c r="I48" s="232"/>
      <c r="J48" s="232"/>
      <c r="K48" s="232"/>
      <c r="L48" s="232"/>
    </row>
    <row r="49" spans="1:14" ht="12" customHeight="1" x14ac:dyDescent="0.25">
      <c r="A49" s="440"/>
      <c r="B49" s="440"/>
      <c r="C49" s="440"/>
      <c r="D49" s="440"/>
      <c r="E49" s="442"/>
      <c r="F49" s="442"/>
      <c r="G49" s="442"/>
      <c r="H49" s="442"/>
      <c r="I49" s="442"/>
      <c r="J49" s="442"/>
      <c r="K49" s="441"/>
      <c r="L49" s="441"/>
      <c r="M49" s="439"/>
      <c r="N49" s="439"/>
    </row>
    <row r="50" spans="1:14" ht="12" customHeight="1" x14ac:dyDescent="0.25">
      <c r="A50" s="440"/>
      <c r="B50" s="440"/>
      <c r="C50" s="440"/>
      <c r="D50" s="440"/>
      <c r="E50" s="440"/>
      <c r="F50" s="440"/>
      <c r="G50" s="440"/>
      <c r="H50" s="440"/>
      <c r="I50" s="440"/>
      <c r="J50" s="440"/>
      <c r="K50" s="439"/>
      <c r="L50" s="439"/>
      <c r="M50" s="439"/>
      <c r="N50" s="439"/>
    </row>
    <row r="51" spans="1:14" ht="12" customHeight="1" x14ac:dyDescent="0.25">
      <c r="A51" s="147"/>
      <c r="B51" s="147"/>
      <c r="C51" s="147"/>
      <c r="D51" s="147"/>
      <c r="E51" s="147"/>
      <c r="F51" s="147"/>
      <c r="G51" s="147"/>
      <c r="H51" s="147"/>
      <c r="I51" s="147"/>
      <c r="J51" s="147"/>
      <c r="K51" s="438"/>
      <c r="L51" s="438"/>
      <c r="M51" s="438"/>
      <c r="N51" s="438"/>
    </row>
    <row r="52" spans="1:14" ht="12" customHeight="1" x14ac:dyDescent="0.25">
      <c r="A52" s="147"/>
      <c r="B52" s="147"/>
      <c r="C52" s="147"/>
      <c r="D52" s="147"/>
      <c r="E52" s="147"/>
      <c r="F52" s="147"/>
      <c r="G52" s="147"/>
      <c r="H52" s="147"/>
      <c r="I52" s="147"/>
      <c r="J52" s="147"/>
      <c r="K52" s="438"/>
      <c r="L52" s="438"/>
      <c r="M52" s="438"/>
      <c r="N52" s="438"/>
    </row>
    <row r="53" spans="1:14" ht="12" customHeight="1" x14ac:dyDescent="0.25">
      <c r="A53" s="147"/>
      <c r="B53" s="147"/>
      <c r="C53" s="147"/>
      <c r="D53" s="147"/>
      <c r="E53" s="147"/>
      <c r="F53" s="147"/>
      <c r="G53" s="147"/>
      <c r="H53" s="147"/>
      <c r="I53" s="147"/>
      <c r="J53" s="147"/>
      <c r="K53" s="438"/>
      <c r="L53" s="438"/>
      <c r="M53" s="438"/>
      <c r="N53" s="438"/>
    </row>
    <row r="54" spans="1:14" ht="12" customHeight="1" x14ac:dyDescent="0.25">
      <c r="A54" s="147"/>
      <c r="B54" s="147"/>
      <c r="C54" s="147"/>
      <c r="D54" s="147"/>
      <c r="E54" s="147"/>
      <c r="F54" s="147"/>
      <c r="G54" s="147"/>
      <c r="H54" s="147"/>
      <c r="I54" s="147"/>
      <c r="J54" s="147"/>
      <c r="K54" s="438"/>
      <c r="L54" s="438"/>
      <c r="M54" s="438"/>
      <c r="N54" s="438"/>
    </row>
    <row r="57" spans="1:14" ht="12" customHeight="1" x14ac:dyDescent="0.25">
      <c r="A57" s="814" t="s">
        <v>503</v>
      </c>
      <c r="B57" s="814"/>
      <c r="C57" s="814"/>
      <c r="D57" s="814"/>
      <c r="E57" s="814"/>
      <c r="F57" s="814"/>
      <c r="G57" s="814"/>
      <c r="H57" s="814"/>
      <c r="I57" s="814"/>
      <c r="J57" s="814"/>
      <c r="K57" s="814"/>
      <c r="L57" s="814"/>
      <c r="M57" s="814"/>
      <c r="N57" s="814"/>
    </row>
    <row r="58" spans="1:14" ht="12" customHeight="1" x14ac:dyDescent="0.25">
      <c r="A58" s="437"/>
      <c r="B58" s="437"/>
      <c r="C58" s="437"/>
      <c r="D58" s="437"/>
      <c r="E58" s="437"/>
      <c r="F58" s="437"/>
      <c r="G58" s="437"/>
      <c r="H58" s="437"/>
      <c r="I58" s="437"/>
      <c r="J58" s="437"/>
      <c r="K58" s="437"/>
      <c r="L58" s="437"/>
      <c r="M58" s="437"/>
      <c r="N58" s="437"/>
    </row>
    <row r="62" spans="1:14" ht="12" customHeight="1" x14ac:dyDescent="0.25">
      <c r="A62" s="590"/>
      <c r="B62" s="590"/>
      <c r="C62" s="590"/>
      <c r="D62" s="841" t="s">
        <v>502</v>
      </c>
      <c r="E62" s="841"/>
      <c r="F62" s="841"/>
      <c r="G62" s="841"/>
      <c r="H62" s="841"/>
      <c r="I62" s="841"/>
      <c r="J62" s="841"/>
      <c r="K62" s="841"/>
      <c r="L62" s="436"/>
    </row>
    <row r="63" spans="1:14" ht="12" customHeight="1" x14ac:dyDescent="0.25">
      <c r="A63" s="842"/>
      <c r="B63" s="842"/>
      <c r="C63" s="842"/>
      <c r="D63" s="841"/>
      <c r="E63" s="841"/>
      <c r="F63" s="841"/>
      <c r="G63" s="841"/>
      <c r="H63" s="841"/>
      <c r="I63" s="841"/>
      <c r="J63" s="841"/>
      <c r="K63" s="841"/>
      <c r="L63" s="436"/>
    </row>
    <row r="64" spans="1:14" ht="12" customHeight="1" x14ac:dyDescent="0.25">
      <c r="D64" s="841"/>
      <c r="E64" s="841"/>
      <c r="F64" s="841"/>
      <c r="G64" s="841"/>
      <c r="H64" s="841"/>
      <c r="I64" s="841"/>
      <c r="J64" s="841"/>
      <c r="K64" s="841"/>
      <c r="L64" s="436"/>
    </row>
    <row r="65" spans="1:14" ht="12" customHeight="1" x14ac:dyDescent="0.25">
      <c r="A65" s="840" t="s">
        <v>501</v>
      </c>
      <c r="B65" s="840"/>
      <c r="C65" s="840"/>
      <c r="D65" s="840"/>
      <c r="E65" s="840"/>
      <c r="F65" s="840"/>
      <c r="G65" s="840"/>
      <c r="H65" s="840"/>
      <c r="I65" s="840"/>
      <c r="J65" s="840"/>
      <c r="K65" s="840"/>
      <c r="L65" s="840"/>
      <c r="M65" s="840"/>
      <c r="N65" s="840"/>
    </row>
    <row r="66" spans="1:14" ht="12" customHeight="1" x14ac:dyDescent="0.25">
      <c r="A66" s="840"/>
      <c r="B66" s="840"/>
      <c r="C66" s="840"/>
      <c r="D66" s="840"/>
      <c r="E66" s="840"/>
      <c r="F66" s="840"/>
      <c r="G66" s="840"/>
      <c r="H66" s="840"/>
      <c r="I66" s="840"/>
      <c r="J66" s="840"/>
      <c r="K66" s="840"/>
      <c r="L66" s="840"/>
      <c r="M66" s="840"/>
      <c r="N66" s="840"/>
    </row>
  </sheetData>
  <sheetProtection algorithmName="SHA-512" hashValue="CarwhwVpCqD8BL1DkxAi9GJVteTKHX7O5W/xBfIiou/BEZMVAd3fJlH0S3zypdh9VLFxtzDTHRTSIyPeUohUNA==" saltValue="WJsHdAwCUrxuNCXRrThETw==" spinCount="100000" sheet="1" objects="1" scenarios="1"/>
  <mergeCells count="120">
    <mergeCell ref="H39:I40"/>
    <mergeCell ref="J39:K40"/>
    <mergeCell ref="F35:G36"/>
    <mergeCell ref="D37:E38"/>
    <mergeCell ref="F37:G38"/>
    <mergeCell ref="H41:I42"/>
    <mergeCell ref="J41:K42"/>
    <mergeCell ref="H43:I44"/>
    <mergeCell ref="J43:K44"/>
    <mergeCell ref="H35:I36"/>
    <mergeCell ref="J35:K36"/>
    <mergeCell ref="H37:I38"/>
    <mergeCell ref="D20:G22"/>
    <mergeCell ref="D23:E24"/>
    <mergeCell ref="F23:G24"/>
    <mergeCell ref="L43:L44"/>
    <mergeCell ref="M43:M44"/>
    <mergeCell ref="M35:M36"/>
    <mergeCell ref="D39:E40"/>
    <mergeCell ref="F39:G40"/>
    <mergeCell ref="D41:E42"/>
    <mergeCell ref="F41:G42"/>
    <mergeCell ref="F27:G28"/>
    <mergeCell ref="D29:E30"/>
    <mergeCell ref="F29:G30"/>
    <mergeCell ref="D31:E32"/>
    <mergeCell ref="F31:G32"/>
    <mergeCell ref="M25:M26"/>
    <mergeCell ref="M27:M28"/>
    <mergeCell ref="M29:M30"/>
    <mergeCell ref="M31:M32"/>
    <mergeCell ref="D27:E28"/>
    <mergeCell ref="H20:K22"/>
    <mergeCell ref="L20:L22"/>
    <mergeCell ref="M20:M22"/>
    <mergeCell ref="J37:K38"/>
    <mergeCell ref="A33:C34"/>
    <mergeCell ref="A35:C36"/>
    <mergeCell ref="A37:C38"/>
    <mergeCell ref="A39:C40"/>
    <mergeCell ref="A41:C42"/>
    <mergeCell ref="A43:C44"/>
    <mergeCell ref="A20:C22"/>
    <mergeCell ref="A23:C24"/>
    <mergeCell ref="A25:C26"/>
    <mergeCell ref="A27:C28"/>
    <mergeCell ref="A29:C30"/>
    <mergeCell ref="A31:C32"/>
    <mergeCell ref="L29:L30"/>
    <mergeCell ref="L31:L32"/>
    <mergeCell ref="N43:N44"/>
    <mergeCell ref="D43:E44"/>
    <mergeCell ref="F43:G44"/>
    <mergeCell ref="F33:G34"/>
    <mergeCell ref="D35:E36"/>
    <mergeCell ref="N33:N34"/>
    <mergeCell ref="N35:N36"/>
    <mergeCell ref="N37:N38"/>
    <mergeCell ref="N39:N40"/>
    <mergeCell ref="N41:N42"/>
    <mergeCell ref="M33:M34"/>
    <mergeCell ref="L37:L38"/>
    <mergeCell ref="L39:L40"/>
    <mergeCell ref="M37:M38"/>
    <mergeCell ref="M39:M40"/>
    <mergeCell ref="M41:M42"/>
    <mergeCell ref="L41:L42"/>
    <mergeCell ref="H33:I34"/>
    <mergeCell ref="J33:K34"/>
    <mergeCell ref="L33:L34"/>
    <mergeCell ref="L35:L36"/>
    <mergeCell ref="D33:E34"/>
    <mergeCell ref="N20:N22"/>
    <mergeCell ref="M23:M24"/>
    <mergeCell ref="H23:I24"/>
    <mergeCell ref="J23:K24"/>
    <mergeCell ref="H25:I26"/>
    <mergeCell ref="A65:N66"/>
    <mergeCell ref="A62:C62"/>
    <mergeCell ref="D62:K64"/>
    <mergeCell ref="A63:C63"/>
    <mergeCell ref="N23:N24"/>
    <mergeCell ref="N25:N26"/>
    <mergeCell ref="N27:N28"/>
    <mergeCell ref="N29:N30"/>
    <mergeCell ref="N31:N32"/>
    <mergeCell ref="J25:K26"/>
    <mergeCell ref="H27:I28"/>
    <mergeCell ref="J27:K28"/>
    <mergeCell ref="H29:I30"/>
    <mergeCell ref="J29:K30"/>
    <mergeCell ref="H31:I32"/>
    <mergeCell ref="J31:K32"/>
    <mergeCell ref="L23:L24"/>
    <mergeCell ref="L25:L26"/>
    <mergeCell ref="L27:L28"/>
    <mergeCell ref="A12:N12"/>
    <mergeCell ref="A11:N11"/>
    <mergeCell ref="A13:N13"/>
    <mergeCell ref="A57:N57"/>
    <mergeCell ref="D25:E26"/>
    <mergeCell ref="F25:G26"/>
    <mergeCell ref="J2:L3"/>
    <mergeCell ref="M2:N3"/>
    <mergeCell ref="A15:N15"/>
    <mergeCell ref="A16:N16"/>
    <mergeCell ref="A17:N17"/>
    <mergeCell ref="A18:N18"/>
    <mergeCell ref="A9:D9"/>
    <mergeCell ref="J9:N9"/>
    <mergeCell ref="A1:I3"/>
    <mergeCell ref="A4:I4"/>
    <mergeCell ref="J4:N4"/>
    <mergeCell ref="J1:N1"/>
    <mergeCell ref="A7:D7"/>
    <mergeCell ref="A8:D8"/>
    <mergeCell ref="A6:D6"/>
    <mergeCell ref="J6:N6"/>
    <mergeCell ref="J7:N7"/>
    <mergeCell ref="J8:N8"/>
  </mergeCells>
  <conditionalFormatting sqref="A51:N51 A53:N53">
    <cfRule type="expression" dxfId="4" priority="3">
      <formula>A51&lt;&gt;""</formula>
    </cfRule>
  </conditionalFormatting>
  <conditionalFormatting sqref="A52:N52 A54:N54">
    <cfRule type="expression" dxfId="3" priority="2">
      <formula>A52&lt;&gt;""</formula>
    </cfRule>
  </conditionalFormatting>
  <conditionalFormatting sqref="H31 L31:M31">
    <cfRule type="expression" dxfId="2" priority="5">
      <formula>$C$28=""</formula>
    </cfRule>
  </conditionalFormatting>
  <conditionalFormatting sqref="H37 L37">
    <cfRule type="expression" dxfId="1" priority="4">
      <formula>$C$34=""</formula>
    </cfRule>
  </conditionalFormatting>
  <conditionalFormatting sqref="L37">
    <cfRule type="expression" dxfId="0" priority="1">
      <formula>$C$37=""</formula>
    </cfRule>
  </conditionalFormatting>
  <pageMargins left="0.5" right="0.5" top="0.25" bottom="0.25" header="0.3" footer="0.3"/>
  <pageSetup orientation="portrait" horizontalDpi="360" verticalDpi="360" r:id="rId1"/>
  <ignoredErrors>
    <ignoredError sqref="M37"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04BA8-619A-4A83-A651-3C479227B08E}">
  <dimension ref="A1:G229"/>
  <sheetViews>
    <sheetView topLeftCell="A47" workbookViewId="0">
      <selection activeCell="A52" sqref="A52"/>
    </sheetView>
  </sheetViews>
  <sheetFormatPr defaultColWidth="120.85546875" defaultRowHeight="15" x14ac:dyDescent="0.25"/>
  <cols>
    <col min="1" max="16384" width="120.85546875" style="225"/>
  </cols>
  <sheetData>
    <row r="1" spans="1:1" x14ac:dyDescent="0.25">
      <c r="A1" s="224" t="s">
        <v>245</v>
      </c>
    </row>
    <row r="2" spans="1:1" ht="30" x14ac:dyDescent="0.25">
      <c r="A2" s="222" t="s">
        <v>287</v>
      </c>
    </row>
    <row r="3" spans="1:1" ht="60" x14ac:dyDescent="0.25">
      <c r="A3" s="226" t="s">
        <v>288</v>
      </c>
    </row>
    <row r="4" spans="1:1" ht="30" x14ac:dyDescent="0.25">
      <c r="A4" s="226" t="s">
        <v>289</v>
      </c>
    </row>
    <row r="5" spans="1:1" x14ac:dyDescent="0.25">
      <c r="A5" s="227" t="s">
        <v>290</v>
      </c>
    </row>
    <row r="6" spans="1:1" x14ac:dyDescent="0.25">
      <c r="A6" s="227" t="s">
        <v>291</v>
      </c>
    </row>
    <row r="7" spans="1:1" x14ac:dyDescent="0.25">
      <c r="A7" s="227"/>
    </row>
    <row r="8" spans="1:1" ht="30" x14ac:dyDescent="0.25">
      <c r="A8" s="227" t="s">
        <v>250</v>
      </c>
    </row>
    <row r="9" spans="1:1" x14ac:dyDescent="0.25">
      <c r="A9" s="227" t="s">
        <v>292</v>
      </c>
    </row>
    <row r="10" spans="1:1" x14ac:dyDescent="0.25">
      <c r="A10" s="227" t="s">
        <v>293</v>
      </c>
    </row>
    <row r="11" spans="1:1" x14ac:dyDescent="0.25">
      <c r="A11" s="227" t="s">
        <v>294</v>
      </c>
    </row>
    <row r="12" spans="1:1" x14ac:dyDescent="0.25">
      <c r="A12" s="227" t="s">
        <v>295</v>
      </c>
    </row>
    <row r="13" spans="1:1" ht="75" x14ac:dyDescent="0.25">
      <c r="A13" s="226" t="s">
        <v>296</v>
      </c>
    </row>
    <row r="14" spans="1:1" ht="60" x14ac:dyDescent="0.25">
      <c r="A14" s="226" t="s">
        <v>297</v>
      </c>
    </row>
    <row r="15" spans="1:1" ht="30" x14ac:dyDescent="0.25">
      <c r="A15" s="226" t="s">
        <v>298</v>
      </c>
    </row>
    <row r="16" spans="1:1" ht="60" x14ac:dyDescent="0.25">
      <c r="A16" s="226" t="s">
        <v>299</v>
      </c>
    </row>
    <row r="17" spans="1:1" ht="90" x14ac:dyDescent="0.25">
      <c r="A17" s="226" t="s">
        <v>300</v>
      </c>
    </row>
    <row r="18" spans="1:1" ht="45" x14ac:dyDescent="0.25">
      <c r="A18" s="226" t="s">
        <v>301</v>
      </c>
    </row>
    <row r="19" spans="1:1" ht="30" x14ac:dyDescent="0.25">
      <c r="A19" s="226" t="s">
        <v>302</v>
      </c>
    </row>
    <row r="20" spans="1:1" ht="60" x14ac:dyDescent="0.25">
      <c r="A20" s="226" t="s">
        <v>303</v>
      </c>
    </row>
    <row r="21" spans="1:1" ht="45" x14ac:dyDescent="0.25">
      <c r="A21" s="226" t="s">
        <v>304</v>
      </c>
    </row>
    <row r="22" spans="1:1" ht="75" x14ac:dyDescent="0.25">
      <c r="A22" s="226" t="s">
        <v>305</v>
      </c>
    </row>
    <row r="23" spans="1:1" ht="45" x14ac:dyDescent="0.25">
      <c r="A23" s="226" t="s">
        <v>306</v>
      </c>
    </row>
    <row r="24" spans="1:1" x14ac:dyDescent="0.25">
      <c r="A24" s="227"/>
    </row>
    <row r="25" spans="1:1" x14ac:dyDescent="0.25">
      <c r="A25" s="228" t="s">
        <v>251</v>
      </c>
    </row>
    <row r="26" spans="1:1" ht="45" x14ac:dyDescent="0.25">
      <c r="A26" s="228" t="s">
        <v>252</v>
      </c>
    </row>
    <row r="27" spans="1:1" x14ac:dyDescent="0.25">
      <c r="A27" s="228"/>
    </row>
    <row r="28" spans="1:1" ht="30" x14ac:dyDescent="0.25">
      <c r="A28" s="226" t="s">
        <v>307</v>
      </c>
    </row>
    <row r="29" spans="1:1" ht="45" x14ac:dyDescent="0.25">
      <c r="A29" s="226" t="s">
        <v>308</v>
      </c>
    </row>
    <row r="30" spans="1:1" ht="45" x14ac:dyDescent="0.25">
      <c r="A30" s="226" t="s">
        <v>309</v>
      </c>
    </row>
    <row r="31" spans="1:1" ht="30" x14ac:dyDescent="0.25">
      <c r="A31" s="226" t="s">
        <v>310</v>
      </c>
    </row>
    <row r="32" spans="1:1" x14ac:dyDescent="0.25">
      <c r="A32" s="227"/>
    </row>
    <row r="33" spans="1:1" ht="45" x14ac:dyDescent="0.25">
      <c r="A33" s="227" t="s">
        <v>253</v>
      </c>
    </row>
    <row r="34" spans="1:1" x14ac:dyDescent="0.25">
      <c r="A34" s="227" t="s">
        <v>254</v>
      </c>
    </row>
    <row r="35" spans="1:1" x14ac:dyDescent="0.25">
      <c r="A35" s="228" t="s">
        <v>255</v>
      </c>
    </row>
    <row r="36" spans="1:1" ht="30" x14ac:dyDescent="0.25">
      <c r="A36" s="228" t="s">
        <v>256</v>
      </c>
    </row>
    <row r="37" spans="1:1" x14ac:dyDescent="0.25">
      <c r="A37" s="228"/>
    </row>
    <row r="38" spans="1:1" x14ac:dyDescent="0.25">
      <c r="A38" s="228" t="s">
        <v>257</v>
      </c>
    </row>
    <row r="39" spans="1:1" ht="30" x14ac:dyDescent="0.25">
      <c r="A39" s="228" t="s">
        <v>258</v>
      </c>
    </row>
    <row r="40" spans="1:1" ht="30" x14ac:dyDescent="0.25">
      <c r="A40" s="226" t="s">
        <v>311</v>
      </c>
    </row>
    <row r="41" spans="1:1" ht="30" x14ac:dyDescent="0.25">
      <c r="A41" s="226" t="s">
        <v>312</v>
      </c>
    </row>
    <row r="42" spans="1:1" ht="30" x14ac:dyDescent="0.25">
      <c r="A42" s="226" t="s">
        <v>313</v>
      </c>
    </row>
    <row r="43" spans="1:1" ht="45" x14ac:dyDescent="0.25">
      <c r="A43" s="223" t="s">
        <v>314</v>
      </c>
    </row>
    <row r="44" spans="1:1" x14ac:dyDescent="0.25">
      <c r="A44" s="223"/>
    </row>
    <row r="45" spans="1:1" ht="30" x14ac:dyDescent="0.25">
      <c r="A45" s="225" t="s">
        <v>564</v>
      </c>
    </row>
    <row r="46" spans="1:1" x14ac:dyDescent="0.25">
      <c r="A46" s="223"/>
    </row>
    <row r="47" spans="1:1" ht="60" x14ac:dyDescent="0.25">
      <c r="A47" s="223" t="s">
        <v>557</v>
      </c>
    </row>
    <row r="48" spans="1:1" x14ac:dyDescent="0.25">
      <c r="A48" s="226"/>
    </row>
    <row r="49" spans="1:7" ht="90" x14ac:dyDescent="0.25">
      <c r="A49" s="226" t="s">
        <v>316</v>
      </c>
    </row>
    <row r="50" spans="1:7" x14ac:dyDescent="0.25">
      <c r="A50" s="226"/>
    </row>
    <row r="51" spans="1:7" x14ac:dyDescent="0.25">
      <c r="A51" s="226"/>
    </row>
    <row r="52" spans="1:7" x14ac:dyDescent="0.25">
      <c r="A52" s="226"/>
    </row>
    <row r="53" spans="1:7" x14ac:dyDescent="0.25">
      <c r="A53" s="226"/>
    </row>
    <row r="54" spans="1:7" x14ac:dyDescent="0.25">
      <c r="A54" s="226"/>
    </row>
    <row r="55" spans="1:7" x14ac:dyDescent="0.25">
      <c r="A55" s="226"/>
    </row>
    <row r="61" spans="1:7" ht="33.75" x14ac:dyDescent="0.25">
      <c r="A61" s="533"/>
      <c r="B61"/>
      <c r="C61"/>
      <c r="D61"/>
      <c r="E61"/>
      <c r="F61"/>
      <c r="G61"/>
    </row>
    <row r="62" spans="1:7" ht="24" x14ac:dyDescent="0.25">
      <c r="A62" s="534"/>
      <c r="B62"/>
      <c r="C62"/>
      <c r="D62"/>
      <c r="E62"/>
      <c r="F62"/>
      <c r="G62"/>
    </row>
    <row r="63" spans="1:7" ht="15.75" x14ac:dyDescent="0.25">
      <c r="A63" s="535"/>
      <c r="B63"/>
      <c r="C63"/>
      <c r="D63"/>
      <c r="E63"/>
      <c r="F63"/>
      <c r="G63"/>
    </row>
    <row r="64" spans="1:7" x14ac:dyDescent="0.25">
      <c r="A64" s="536"/>
      <c r="B64"/>
      <c r="C64"/>
      <c r="D64"/>
      <c r="E64"/>
      <c r="F64"/>
      <c r="G64"/>
    </row>
    <row r="65" spans="1:7" ht="18" x14ac:dyDescent="0.25">
      <c r="A65" s="537"/>
      <c r="B65"/>
      <c r="C65"/>
      <c r="D65"/>
      <c r="E65"/>
      <c r="F65"/>
      <c r="G65"/>
    </row>
    <row r="66" spans="1:7" x14ac:dyDescent="0.25">
      <c r="A66" s="538"/>
      <c r="B66"/>
      <c r="C66"/>
      <c r="D66"/>
      <c r="E66"/>
      <c r="F66"/>
      <c r="G66"/>
    </row>
    <row r="67" spans="1:7" x14ac:dyDescent="0.25">
      <c r="A67" s="539"/>
      <c r="B67"/>
      <c r="C67"/>
      <c r="D67"/>
      <c r="E67"/>
      <c r="F67"/>
      <c r="G67"/>
    </row>
    <row r="68" spans="1:7" ht="18" x14ac:dyDescent="0.25">
      <c r="A68" s="540"/>
      <c r="B68"/>
      <c r="C68"/>
      <c r="D68"/>
      <c r="E68"/>
      <c r="F68"/>
      <c r="G68"/>
    </row>
    <row r="69" spans="1:7" x14ac:dyDescent="0.25">
      <c r="A69" s="541"/>
      <c r="B69"/>
      <c r="C69"/>
      <c r="D69"/>
      <c r="E69"/>
      <c r="F69"/>
      <c r="G69"/>
    </row>
    <row r="70" spans="1:7" x14ac:dyDescent="0.25">
      <c r="A70" s="541"/>
      <c r="B70"/>
      <c r="C70"/>
      <c r="D70"/>
      <c r="E70"/>
      <c r="F70"/>
      <c r="G70"/>
    </row>
    <row r="71" spans="1:7" x14ac:dyDescent="0.25">
      <c r="A71" s="542"/>
      <c r="B71"/>
      <c r="C71"/>
      <c r="D71"/>
      <c r="E71"/>
      <c r="F71"/>
      <c r="G71"/>
    </row>
    <row r="72" spans="1:7" x14ac:dyDescent="0.25">
      <c r="A72" s="542"/>
      <c r="B72"/>
      <c r="C72"/>
      <c r="D72"/>
      <c r="E72"/>
      <c r="F72"/>
      <c r="G72"/>
    </row>
    <row r="73" spans="1:7" x14ac:dyDescent="0.25">
      <c r="A73" s="542"/>
      <c r="B73"/>
      <c r="C73"/>
      <c r="D73"/>
      <c r="E73"/>
      <c r="F73"/>
      <c r="G73"/>
    </row>
    <row r="74" spans="1:7" x14ac:dyDescent="0.25">
      <c r="A74" s="542"/>
      <c r="B74"/>
      <c r="C74"/>
      <c r="D74"/>
      <c r="E74"/>
      <c r="F74"/>
      <c r="G74"/>
    </row>
    <row r="75" spans="1:7" x14ac:dyDescent="0.25">
      <c r="A75" s="542"/>
      <c r="B75"/>
      <c r="C75"/>
      <c r="D75"/>
      <c r="E75"/>
      <c r="F75"/>
      <c r="G75"/>
    </row>
    <row r="76" spans="1:7" x14ac:dyDescent="0.25">
      <c r="A76" s="536"/>
      <c r="B76"/>
      <c r="C76"/>
      <c r="D76"/>
      <c r="E76"/>
      <c r="F76"/>
      <c r="G76"/>
    </row>
    <row r="77" spans="1:7" x14ac:dyDescent="0.25">
      <c r="A77" s="543"/>
      <c r="B77"/>
      <c r="C77"/>
      <c r="D77"/>
      <c r="E77"/>
      <c r="F77"/>
      <c r="G77"/>
    </row>
    <row r="78" spans="1:7" x14ac:dyDescent="0.25">
      <c r="A78" s="543"/>
      <c r="B78"/>
      <c r="C78"/>
      <c r="D78"/>
      <c r="E78"/>
      <c r="F78"/>
      <c r="G78"/>
    </row>
    <row r="79" spans="1:7" x14ac:dyDescent="0.25">
      <c r="A79" s="543"/>
      <c r="B79"/>
      <c r="C79"/>
      <c r="D79"/>
      <c r="E79"/>
      <c r="F79"/>
      <c r="G79"/>
    </row>
    <row r="80" spans="1:7" x14ac:dyDescent="0.25">
      <c r="A80" s="543"/>
      <c r="B80"/>
      <c r="C80"/>
      <c r="D80"/>
      <c r="E80"/>
      <c r="F80"/>
      <c r="G80"/>
    </row>
    <row r="81" spans="1:7" x14ac:dyDescent="0.25">
      <c r="A81" s="543"/>
      <c r="B81"/>
      <c r="C81"/>
      <c r="D81"/>
      <c r="E81"/>
      <c r="F81"/>
      <c r="G81"/>
    </row>
    <row r="82" spans="1:7" x14ac:dyDescent="0.25">
      <c r="A82" s="536"/>
      <c r="B82"/>
      <c r="C82"/>
      <c r="D82"/>
      <c r="E82"/>
      <c r="F82"/>
      <c r="G82"/>
    </row>
    <row r="83" spans="1:7" ht="18" x14ac:dyDescent="0.25">
      <c r="A83" s="540"/>
      <c r="B83"/>
      <c r="C83"/>
      <c r="D83"/>
      <c r="E83"/>
      <c r="F83"/>
      <c r="G83"/>
    </row>
    <row r="84" spans="1:7" x14ac:dyDescent="0.25">
      <c r="A84" s="541"/>
      <c r="B84"/>
      <c r="C84"/>
      <c r="D84"/>
      <c r="E84"/>
      <c r="F84"/>
      <c r="G84"/>
    </row>
    <row r="85" spans="1:7" ht="15.75" thickBot="1" x14ac:dyDescent="0.3">
      <c r="A85" s="536"/>
      <c r="B85"/>
      <c r="C85"/>
      <c r="D85"/>
      <c r="E85"/>
      <c r="F85"/>
      <c r="G85"/>
    </row>
    <row r="86" spans="1:7" ht="15.75" thickBot="1" x14ac:dyDescent="0.3">
      <c r="A86" s="544"/>
      <c r="B86" s="545"/>
      <c r="C86" s="545"/>
      <c r="D86"/>
      <c r="E86"/>
      <c r="F86"/>
      <c r="G86"/>
    </row>
    <row r="87" spans="1:7" ht="15.75" thickBot="1" x14ac:dyDescent="0.3">
      <c r="A87" s="546"/>
      <c r="B87" s="547"/>
      <c r="C87" s="548"/>
      <c r="D87"/>
      <c r="E87"/>
      <c r="F87"/>
      <c r="G87"/>
    </row>
    <row r="88" spans="1:7" ht="15.75" thickBot="1" x14ac:dyDescent="0.3">
      <c r="A88" s="549"/>
      <c r="B88" s="547"/>
      <c r="C88" s="550"/>
      <c r="D88"/>
      <c r="E88"/>
      <c r="F88"/>
      <c r="G88"/>
    </row>
    <row r="89" spans="1:7" ht="15.75" thickBot="1" x14ac:dyDescent="0.3">
      <c r="A89" s="546"/>
      <c r="B89" s="547"/>
      <c r="C89" s="548"/>
      <c r="D89"/>
      <c r="E89"/>
      <c r="F89"/>
      <c r="G89"/>
    </row>
    <row r="90" spans="1:7" ht="15.75" thickBot="1" x14ac:dyDescent="0.3">
      <c r="A90" s="549"/>
      <c r="B90" s="547"/>
      <c r="C90" s="550"/>
      <c r="D90"/>
      <c r="E90"/>
      <c r="F90"/>
      <c r="G90"/>
    </row>
    <row r="91" spans="1:7" ht="15.75" thickBot="1" x14ac:dyDescent="0.3">
      <c r="A91" s="546"/>
      <c r="B91" s="547"/>
      <c r="C91" s="548"/>
      <c r="D91"/>
      <c r="E91"/>
      <c r="F91"/>
      <c r="G91"/>
    </row>
    <row r="92" spans="1:7" ht="15.75" thickBot="1" x14ac:dyDescent="0.3">
      <c r="A92" s="549"/>
      <c r="B92" s="547"/>
      <c r="C92" s="550"/>
      <c r="D92"/>
      <c r="E92"/>
      <c r="F92"/>
      <c r="G92"/>
    </row>
    <row r="93" spans="1:7" ht="15.75" thickBot="1" x14ac:dyDescent="0.3">
      <c r="A93" s="546"/>
      <c r="B93" s="547"/>
      <c r="C93" s="548"/>
      <c r="D93"/>
      <c r="E93"/>
      <c r="F93"/>
      <c r="G93"/>
    </row>
    <row r="94" spans="1:7" ht="15.75" thickBot="1" x14ac:dyDescent="0.3">
      <c r="A94" s="549"/>
      <c r="B94" s="550"/>
      <c r="C94" s="550"/>
      <c r="D94"/>
      <c r="E94"/>
      <c r="F94"/>
      <c r="G94"/>
    </row>
    <row r="95" spans="1:7" ht="15.75" thickBot="1" x14ac:dyDescent="0.3">
      <c r="A95" s="546"/>
      <c r="B95" s="550"/>
      <c r="C95" s="548"/>
      <c r="D95"/>
      <c r="E95"/>
      <c r="F95"/>
      <c r="G95"/>
    </row>
    <row r="96" spans="1:7" ht="15.75" thickBot="1" x14ac:dyDescent="0.3">
      <c r="A96" s="549"/>
      <c r="B96" s="550"/>
      <c r="C96" s="550"/>
      <c r="D96"/>
      <c r="E96"/>
      <c r="F96"/>
      <c r="G96"/>
    </row>
    <row r="97" spans="1:7" ht="15.75" thickBot="1" x14ac:dyDescent="0.3">
      <c r="A97" s="546"/>
      <c r="B97" s="550"/>
      <c r="C97" s="548"/>
      <c r="D97"/>
      <c r="E97"/>
      <c r="F97"/>
      <c r="G97"/>
    </row>
    <row r="98" spans="1:7" x14ac:dyDescent="0.25">
      <c r="A98" s="536"/>
      <c r="B98"/>
      <c r="C98"/>
      <c r="D98"/>
      <c r="E98"/>
      <c r="F98"/>
      <c r="G98"/>
    </row>
    <row r="99" spans="1:7" ht="18" x14ac:dyDescent="0.25">
      <c r="A99" s="540"/>
      <c r="B99"/>
      <c r="C99"/>
      <c r="D99"/>
      <c r="E99"/>
      <c r="F99"/>
      <c r="G99"/>
    </row>
    <row r="100" spans="1:7" x14ac:dyDescent="0.25">
      <c r="A100" s="541"/>
      <c r="B100"/>
      <c r="C100"/>
      <c r="D100"/>
      <c r="E100"/>
      <c r="F100"/>
      <c r="G100"/>
    </row>
    <row r="101" spans="1:7" ht="15.75" thickBot="1" x14ac:dyDescent="0.3">
      <c r="A101" s="536"/>
      <c r="B101"/>
      <c r="C101"/>
      <c r="D101"/>
      <c r="E101"/>
      <c r="F101"/>
      <c r="G101"/>
    </row>
    <row r="102" spans="1:7" ht="15.75" thickBot="1" x14ac:dyDescent="0.3">
      <c r="A102" s="544"/>
      <c r="B102" s="545"/>
      <c r="C102" s="545"/>
      <c r="D102" s="545"/>
      <c r="E102" s="545"/>
      <c r="F102" s="545"/>
      <c r="G102" s="545"/>
    </row>
    <row r="103" spans="1:7" ht="15.75" thickBot="1" x14ac:dyDescent="0.3">
      <c r="A103" s="551"/>
      <c r="B103" s="548"/>
      <c r="C103" s="552"/>
      <c r="D103" s="548"/>
      <c r="E103" s="552"/>
      <c r="F103" s="552"/>
      <c r="G103" s="553"/>
    </row>
    <row r="104" spans="1:7" ht="15.75" thickBot="1" x14ac:dyDescent="0.3">
      <c r="A104" s="554"/>
      <c r="B104" s="550"/>
      <c r="C104" s="555"/>
      <c r="D104" s="550"/>
      <c r="E104" s="555"/>
      <c r="F104" s="555"/>
      <c r="G104" s="547"/>
    </row>
    <row r="105" spans="1:7" ht="15.75" thickBot="1" x14ac:dyDescent="0.3">
      <c r="A105" s="551"/>
      <c r="B105" s="548"/>
      <c r="C105" s="552"/>
      <c r="D105" s="548"/>
      <c r="E105" s="552"/>
      <c r="F105" s="552"/>
      <c r="G105" s="547"/>
    </row>
    <row r="106" spans="1:7" ht="15.75" thickBot="1" x14ac:dyDescent="0.3">
      <c r="A106" s="554"/>
      <c r="B106" s="550"/>
      <c r="C106" s="555"/>
      <c r="D106" s="550"/>
      <c r="E106" s="555"/>
      <c r="F106" s="555"/>
      <c r="G106" s="547"/>
    </row>
    <row r="107" spans="1:7" ht="15.75" thickBot="1" x14ac:dyDescent="0.3">
      <c r="A107" s="551"/>
      <c r="B107" s="548"/>
      <c r="C107" s="552"/>
      <c r="D107" s="548"/>
      <c r="E107" s="552"/>
      <c r="F107" s="552"/>
      <c r="G107" s="547"/>
    </row>
    <row r="108" spans="1:7" ht="15.75" thickBot="1" x14ac:dyDescent="0.3">
      <c r="A108" s="554"/>
      <c r="B108" s="550"/>
      <c r="C108" s="555"/>
      <c r="D108" s="550"/>
      <c r="E108" s="555"/>
      <c r="F108" s="555"/>
      <c r="G108" s="547"/>
    </row>
    <row r="109" spans="1:7" ht="15.75" thickBot="1" x14ac:dyDescent="0.3">
      <c r="A109" s="551"/>
      <c r="B109" s="548"/>
      <c r="C109" s="552"/>
      <c r="D109" s="548"/>
      <c r="E109" s="552"/>
      <c r="F109" s="552"/>
      <c r="G109" s="547"/>
    </row>
    <row r="110" spans="1:7" ht="15.75" thickBot="1" x14ac:dyDescent="0.3">
      <c r="A110" s="554"/>
      <c r="B110" s="550"/>
      <c r="C110" s="555"/>
      <c r="D110" s="550"/>
      <c r="E110" s="555"/>
      <c r="F110" s="555"/>
      <c r="G110" s="547"/>
    </row>
    <row r="111" spans="1:7" ht="15.75" thickBot="1" x14ac:dyDescent="0.3">
      <c r="A111" s="551"/>
      <c r="B111" s="548"/>
      <c r="C111" s="552"/>
      <c r="D111" s="548"/>
      <c r="E111" s="552"/>
      <c r="F111" s="552"/>
      <c r="G111" s="547"/>
    </row>
    <row r="112" spans="1:7" ht="15.75" thickBot="1" x14ac:dyDescent="0.3">
      <c r="A112" s="554"/>
      <c r="B112" s="550"/>
      <c r="C112" s="555"/>
      <c r="D112" s="550"/>
      <c r="E112" s="555"/>
      <c r="F112" s="555"/>
      <c r="G112" s="547"/>
    </row>
    <row r="113" spans="1:7" ht="15.75" thickBot="1" x14ac:dyDescent="0.3">
      <c r="A113" s="551"/>
      <c r="B113" s="548"/>
      <c r="C113" s="552"/>
      <c r="D113" s="548"/>
      <c r="E113" s="552"/>
      <c r="F113" s="552"/>
      <c r="G113" s="547"/>
    </row>
    <row r="114" spans="1:7" x14ac:dyDescent="0.25">
      <c r="A114" s="536"/>
      <c r="B114"/>
      <c r="C114"/>
      <c r="D114"/>
      <c r="E114"/>
      <c r="F114"/>
      <c r="G114"/>
    </row>
    <row r="115" spans="1:7" ht="18" x14ac:dyDescent="0.25">
      <c r="A115" s="540"/>
      <c r="B115"/>
      <c r="C115"/>
      <c r="D115"/>
      <c r="E115"/>
      <c r="F115"/>
      <c r="G115"/>
    </row>
    <row r="116" spans="1:7" x14ac:dyDescent="0.25">
      <c r="A116" s="556"/>
      <c r="B116"/>
      <c r="C116"/>
      <c r="D116"/>
      <c r="E116"/>
      <c r="F116"/>
      <c r="G116"/>
    </row>
    <row r="117" spans="1:7" x14ac:dyDescent="0.25">
      <c r="A117" s="541"/>
      <c r="B117"/>
      <c r="C117"/>
      <c r="D117"/>
      <c r="E117"/>
      <c r="F117"/>
      <c r="G117"/>
    </row>
    <row r="118" spans="1:7" ht="15.75" thickBot="1" x14ac:dyDescent="0.3">
      <c r="A118" s="536"/>
      <c r="B118"/>
      <c r="C118"/>
      <c r="D118"/>
      <c r="E118"/>
      <c r="F118"/>
      <c r="G118"/>
    </row>
    <row r="119" spans="1:7" ht="15.75" thickBot="1" x14ac:dyDescent="0.3">
      <c r="A119" s="544"/>
      <c r="B119" s="545"/>
      <c r="C119" s="545"/>
      <c r="D119"/>
      <c r="E119"/>
      <c r="F119"/>
      <c r="G119"/>
    </row>
    <row r="120" spans="1:7" ht="15.75" thickBot="1" x14ac:dyDescent="0.3">
      <c r="A120" s="546"/>
      <c r="B120" s="548"/>
      <c r="C120" s="548"/>
      <c r="D120"/>
      <c r="E120"/>
      <c r="F120"/>
      <c r="G120"/>
    </row>
    <row r="121" spans="1:7" ht="15.75" thickBot="1" x14ac:dyDescent="0.3">
      <c r="A121" s="549"/>
      <c r="B121" s="550"/>
      <c r="C121" s="550"/>
      <c r="D121"/>
      <c r="E121"/>
      <c r="F121"/>
      <c r="G121"/>
    </row>
    <row r="122" spans="1:7" ht="15.75" thickBot="1" x14ac:dyDescent="0.3">
      <c r="A122" s="546"/>
      <c r="B122" s="548"/>
      <c r="C122" s="548"/>
      <c r="D122"/>
      <c r="E122"/>
      <c r="F122"/>
      <c r="G122"/>
    </row>
    <row r="123" spans="1:7" ht="15.75" thickBot="1" x14ac:dyDescent="0.3">
      <c r="A123" s="549"/>
      <c r="B123" s="550"/>
      <c r="C123" s="550"/>
      <c r="D123"/>
      <c r="E123"/>
      <c r="F123"/>
      <c r="G123"/>
    </row>
    <row r="124" spans="1:7" ht="15.75" thickBot="1" x14ac:dyDescent="0.3">
      <c r="A124" s="546"/>
      <c r="B124" s="548"/>
      <c r="C124" s="548"/>
      <c r="D124"/>
      <c r="E124"/>
      <c r="F124"/>
      <c r="G124"/>
    </row>
    <row r="125" spans="1:7" ht="15.75" thickBot="1" x14ac:dyDescent="0.3">
      <c r="A125" s="549"/>
      <c r="B125" s="550"/>
      <c r="C125" s="550"/>
      <c r="D125"/>
      <c r="E125"/>
      <c r="F125"/>
      <c r="G125"/>
    </row>
    <row r="126" spans="1:7" ht="15.75" thickBot="1" x14ac:dyDescent="0.3">
      <c r="A126" s="546"/>
      <c r="B126" s="548"/>
      <c r="C126" s="548"/>
      <c r="D126"/>
      <c r="E126"/>
      <c r="F126"/>
      <c r="G126"/>
    </row>
    <row r="127" spans="1:7" ht="15.75" thickBot="1" x14ac:dyDescent="0.3">
      <c r="A127" s="549"/>
      <c r="B127" s="550"/>
      <c r="C127" s="550"/>
      <c r="D127"/>
      <c r="E127"/>
      <c r="F127"/>
      <c r="G127"/>
    </row>
    <row r="128" spans="1:7" ht="15.75" thickBot="1" x14ac:dyDescent="0.3">
      <c r="A128" s="546"/>
      <c r="B128" s="548"/>
      <c r="C128" s="548"/>
      <c r="D128"/>
      <c r="E128"/>
      <c r="F128"/>
      <c r="G128"/>
    </row>
    <row r="129" spans="1:7" ht="15.75" thickBot="1" x14ac:dyDescent="0.3">
      <c r="A129" s="549"/>
      <c r="B129" s="550"/>
      <c r="C129" s="550"/>
      <c r="D129"/>
      <c r="E129"/>
      <c r="F129"/>
      <c r="G129"/>
    </row>
    <row r="130" spans="1:7" ht="15.75" thickBot="1" x14ac:dyDescent="0.3">
      <c r="A130" s="546"/>
      <c r="B130" s="548"/>
      <c r="C130" s="548"/>
      <c r="D130"/>
      <c r="E130"/>
      <c r="F130"/>
      <c r="G130"/>
    </row>
    <row r="131" spans="1:7" ht="15.75" thickBot="1" x14ac:dyDescent="0.3">
      <c r="A131" s="549"/>
      <c r="B131" s="550"/>
      <c r="C131" s="550"/>
      <c r="D131"/>
      <c r="E131"/>
      <c r="F131"/>
      <c r="G131"/>
    </row>
    <row r="132" spans="1:7" ht="15.75" thickBot="1" x14ac:dyDescent="0.3">
      <c r="A132" s="546"/>
      <c r="B132" s="548"/>
      <c r="C132" s="548"/>
      <c r="D132"/>
      <c r="E132"/>
      <c r="F132"/>
      <c r="G132"/>
    </row>
    <row r="133" spans="1:7" ht="15.75" thickBot="1" x14ac:dyDescent="0.3">
      <c r="A133" s="549"/>
      <c r="B133" s="550"/>
      <c r="C133" s="550"/>
      <c r="D133"/>
      <c r="E133"/>
      <c r="F133"/>
      <c r="G133"/>
    </row>
    <row r="134" spans="1:7" ht="15.75" thickBot="1" x14ac:dyDescent="0.3">
      <c r="A134" s="546"/>
      <c r="B134" s="557"/>
      <c r="C134" s="548"/>
      <c r="D134"/>
      <c r="E134"/>
      <c r="F134"/>
      <c r="G134"/>
    </row>
    <row r="135" spans="1:7" x14ac:dyDescent="0.25">
      <c r="A135" s="536"/>
      <c r="B135"/>
      <c r="C135"/>
      <c r="D135"/>
      <c r="E135"/>
      <c r="F135"/>
      <c r="G135"/>
    </row>
    <row r="136" spans="1:7" x14ac:dyDescent="0.25">
      <c r="A136" s="556"/>
      <c r="B136"/>
      <c r="C136"/>
      <c r="D136"/>
      <c r="E136"/>
      <c r="F136"/>
      <c r="G136"/>
    </row>
    <row r="137" spans="1:7" x14ac:dyDescent="0.25">
      <c r="A137" s="541"/>
      <c r="B137"/>
      <c r="C137"/>
      <c r="D137"/>
      <c r="E137"/>
      <c r="F137"/>
      <c r="G137"/>
    </row>
    <row r="138" spans="1:7" ht="15.75" thickBot="1" x14ac:dyDescent="0.3">
      <c r="A138" s="536"/>
      <c r="B138"/>
      <c r="C138"/>
      <c r="D138"/>
      <c r="E138"/>
      <c r="F138"/>
      <c r="G138"/>
    </row>
    <row r="139" spans="1:7" ht="15.75" thickBot="1" x14ac:dyDescent="0.3">
      <c r="A139" s="544"/>
      <c r="B139" s="545"/>
      <c r="C139" s="545"/>
      <c r="D139" s="545"/>
      <c r="E139" s="545"/>
      <c r="F139"/>
      <c r="G139"/>
    </row>
    <row r="140" spans="1:7" ht="15.75" thickBot="1" x14ac:dyDescent="0.3">
      <c r="A140" s="551"/>
      <c r="B140" s="548"/>
      <c r="C140" s="548"/>
      <c r="D140" s="548"/>
      <c r="E140" s="547"/>
      <c r="F140"/>
      <c r="G140"/>
    </row>
    <row r="141" spans="1:7" ht="15.75" thickBot="1" x14ac:dyDescent="0.3">
      <c r="A141" s="554"/>
      <c r="B141" s="550"/>
      <c r="C141" s="550"/>
      <c r="D141" s="550"/>
      <c r="E141" s="547"/>
      <c r="F141"/>
      <c r="G141"/>
    </row>
    <row r="142" spans="1:7" ht="15.75" thickBot="1" x14ac:dyDescent="0.3">
      <c r="A142" s="551"/>
      <c r="B142" s="548"/>
      <c r="C142" s="548"/>
      <c r="D142" s="548"/>
      <c r="E142" s="547"/>
      <c r="F142"/>
      <c r="G142"/>
    </row>
    <row r="143" spans="1:7" ht="15.75" thickBot="1" x14ac:dyDescent="0.3">
      <c r="A143" s="554"/>
      <c r="B143" s="550"/>
      <c r="C143" s="550"/>
      <c r="D143" s="550"/>
      <c r="E143" s="547"/>
      <c r="F143"/>
      <c r="G143"/>
    </row>
    <row r="144" spans="1:7" ht="15.75" thickBot="1" x14ac:dyDescent="0.3">
      <c r="A144" s="551"/>
      <c r="B144" s="548"/>
      <c r="C144" s="548"/>
      <c r="D144" s="548"/>
      <c r="E144" s="547"/>
      <c r="F144"/>
      <c r="G144"/>
    </row>
    <row r="145" spans="1:7" ht="15.75" thickBot="1" x14ac:dyDescent="0.3">
      <c r="A145" s="554"/>
      <c r="B145" s="550"/>
      <c r="C145" s="550"/>
      <c r="D145" s="550"/>
      <c r="E145" s="547"/>
      <c r="F145"/>
      <c r="G145"/>
    </row>
    <row r="146" spans="1:7" ht="15.75" thickBot="1" x14ac:dyDescent="0.3">
      <c r="A146" s="551"/>
      <c r="B146" s="548"/>
      <c r="C146" s="548"/>
      <c r="D146" s="548"/>
      <c r="E146" s="547"/>
      <c r="F146"/>
      <c r="G146"/>
    </row>
    <row r="147" spans="1:7" ht="15.75" thickBot="1" x14ac:dyDescent="0.3">
      <c r="A147" s="554"/>
      <c r="B147" s="550"/>
      <c r="C147" s="550"/>
      <c r="D147" s="550"/>
      <c r="E147" s="547"/>
      <c r="F147"/>
      <c r="G147"/>
    </row>
    <row r="148" spans="1:7" ht="15.75" thickBot="1" x14ac:dyDescent="0.3">
      <c r="A148" s="551"/>
      <c r="B148" s="548"/>
      <c r="C148" s="548"/>
      <c r="D148" s="548"/>
      <c r="E148" s="547"/>
      <c r="F148"/>
      <c r="G148"/>
    </row>
    <row r="149" spans="1:7" ht="15.75" thickBot="1" x14ac:dyDescent="0.3">
      <c r="A149" s="554"/>
      <c r="B149" s="550"/>
      <c r="C149" s="550"/>
      <c r="D149" s="550"/>
      <c r="E149" s="547"/>
      <c r="F149"/>
      <c r="G149"/>
    </row>
    <row r="150" spans="1:7" x14ac:dyDescent="0.25">
      <c r="A150" s="536"/>
      <c r="B150"/>
      <c r="C150"/>
      <c r="D150"/>
      <c r="E150"/>
      <c r="F150"/>
      <c r="G150"/>
    </row>
    <row r="151" spans="1:7" x14ac:dyDescent="0.25">
      <c r="A151" s="541"/>
      <c r="B151"/>
      <c r="C151"/>
      <c r="D151"/>
      <c r="E151"/>
      <c r="F151"/>
      <c r="G151"/>
    </row>
    <row r="152" spans="1:7" ht="15.75" thickBot="1" x14ac:dyDescent="0.3">
      <c r="A152" s="536"/>
      <c r="B152"/>
      <c r="C152"/>
      <c r="D152"/>
      <c r="E152"/>
      <c r="F152"/>
      <c r="G152"/>
    </row>
    <row r="153" spans="1:7" ht="15.75" thickBot="1" x14ac:dyDescent="0.3">
      <c r="A153" s="544"/>
      <c r="B153" s="545"/>
      <c r="C153" s="545"/>
      <c r="D153"/>
      <c r="E153"/>
      <c r="F153"/>
      <c r="G153"/>
    </row>
    <row r="154" spans="1:7" ht="15.75" thickBot="1" x14ac:dyDescent="0.3">
      <c r="A154" s="546"/>
      <c r="B154" s="548"/>
      <c r="C154" s="558"/>
      <c r="D154"/>
      <c r="E154"/>
      <c r="F154"/>
      <c r="G154"/>
    </row>
    <row r="155" spans="1:7" ht="15.75" thickBot="1" x14ac:dyDescent="0.3">
      <c r="A155" s="549"/>
      <c r="B155" s="550"/>
      <c r="C155" s="559"/>
      <c r="D155"/>
      <c r="E155"/>
      <c r="F155"/>
      <c r="G155"/>
    </row>
    <row r="156" spans="1:7" ht="15.75" thickBot="1" x14ac:dyDescent="0.3">
      <c r="A156" s="546"/>
      <c r="B156" s="548"/>
      <c r="C156" s="560"/>
      <c r="D156"/>
      <c r="E156"/>
      <c r="F156"/>
      <c r="G156"/>
    </row>
    <row r="157" spans="1:7" ht="15.75" thickBot="1" x14ac:dyDescent="0.3">
      <c r="A157" s="549"/>
      <c r="B157" s="550"/>
      <c r="C157" s="559"/>
      <c r="D157"/>
      <c r="E157"/>
      <c r="F157"/>
      <c r="G157"/>
    </row>
    <row r="158" spans="1:7" ht="15.75" thickBot="1" x14ac:dyDescent="0.3">
      <c r="A158" s="546"/>
      <c r="B158" s="548"/>
      <c r="C158" s="560"/>
      <c r="D158"/>
      <c r="E158"/>
      <c r="F158"/>
      <c r="G158"/>
    </row>
    <row r="159" spans="1:7" ht="15.75" thickBot="1" x14ac:dyDescent="0.3">
      <c r="A159" s="549"/>
      <c r="B159" s="550"/>
      <c r="C159" s="559"/>
      <c r="D159"/>
      <c r="E159"/>
      <c r="F159"/>
      <c r="G159"/>
    </row>
    <row r="160" spans="1:7" ht="15.75" thickBot="1" x14ac:dyDescent="0.3">
      <c r="A160" s="546"/>
      <c r="B160" s="548"/>
      <c r="C160" s="560"/>
      <c r="D160"/>
      <c r="E160"/>
      <c r="F160"/>
      <c r="G160"/>
    </row>
    <row r="161" spans="1:7" ht="15.75" thickBot="1" x14ac:dyDescent="0.3">
      <c r="A161" s="549"/>
      <c r="B161" s="550"/>
      <c r="C161" s="559"/>
      <c r="D161"/>
      <c r="E161"/>
      <c r="F161"/>
      <c r="G161"/>
    </row>
    <row r="162" spans="1:7" ht="15.75" thickBot="1" x14ac:dyDescent="0.3">
      <c r="A162" s="546"/>
      <c r="B162" s="548"/>
      <c r="C162" s="560"/>
      <c r="D162"/>
      <c r="E162"/>
      <c r="F162"/>
      <c r="G162"/>
    </row>
    <row r="163" spans="1:7" ht="15.75" thickBot="1" x14ac:dyDescent="0.3">
      <c r="A163" s="549"/>
      <c r="B163" s="550"/>
      <c r="C163" s="559"/>
      <c r="D163"/>
      <c r="E163"/>
      <c r="F163"/>
      <c r="G163"/>
    </row>
    <row r="164" spans="1:7" ht="15.75" thickBot="1" x14ac:dyDescent="0.3">
      <c r="A164" s="546"/>
      <c r="B164" s="548"/>
      <c r="C164" s="560"/>
      <c r="D164"/>
      <c r="E164"/>
      <c r="F164"/>
      <c r="G164"/>
    </row>
    <row r="165" spans="1:7" ht="15.75" thickBot="1" x14ac:dyDescent="0.3">
      <c r="A165" s="549"/>
      <c r="B165" s="561"/>
      <c r="C165" s="562"/>
      <c r="D165"/>
      <c r="E165"/>
      <c r="F165"/>
      <c r="G165"/>
    </row>
    <row r="166" spans="1:7" x14ac:dyDescent="0.25">
      <c r="A166" s="536"/>
      <c r="B166"/>
      <c r="C166"/>
      <c r="D166"/>
      <c r="E166"/>
      <c r="F166"/>
      <c r="G166"/>
    </row>
    <row r="167" spans="1:7" ht="18" x14ac:dyDescent="0.25">
      <c r="A167" s="540"/>
      <c r="B167"/>
      <c r="C167"/>
      <c r="D167"/>
      <c r="E167"/>
      <c r="F167"/>
      <c r="G167"/>
    </row>
    <row r="168" spans="1:7" x14ac:dyDescent="0.25">
      <c r="A168" s="541"/>
      <c r="B168"/>
      <c r="C168"/>
      <c r="D168"/>
      <c r="E168"/>
      <c r="F168"/>
      <c r="G168"/>
    </row>
    <row r="169" spans="1:7" ht="15.75" thickBot="1" x14ac:dyDescent="0.3">
      <c r="A169" s="536"/>
      <c r="B169"/>
      <c r="C169"/>
      <c r="D169"/>
      <c r="E169"/>
      <c r="F169"/>
      <c r="G169"/>
    </row>
    <row r="170" spans="1:7" ht="15.75" thickBot="1" x14ac:dyDescent="0.3">
      <c r="A170" s="544"/>
      <c r="B170" s="545"/>
      <c r="C170" s="545"/>
      <c r="D170" s="545"/>
      <c r="E170" s="545"/>
      <c r="F170"/>
      <c r="G170"/>
    </row>
    <row r="171" spans="1:7" ht="15.75" thickBot="1" x14ac:dyDescent="0.3">
      <c r="A171" s="563"/>
      <c r="B171" s="564"/>
      <c r="C171" s="548"/>
      <c r="D171" s="548"/>
      <c r="E171" s="565"/>
      <c r="F171"/>
      <c r="G171"/>
    </row>
    <row r="172" spans="1:7" ht="15.75" thickBot="1" x14ac:dyDescent="0.3">
      <c r="A172" s="566"/>
      <c r="B172" s="567"/>
      <c r="C172" s="550"/>
      <c r="D172" s="550"/>
      <c r="E172" s="565"/>
      <c r="F172"/>
      <c r="G172"/>
    </row>
    <row r="173" spans="1:7" ht="15.75" thickBot="1" x14ac:dyDescent="0.3">
      <c r="A173" s="563"/>
      <c r="B173" s="564"/>
      <c r="C173" s="548"/>
      <c r="D173" s="548"/>
      <c r="E173" s="565"/>
      <c r="F173"/>
      <c r="G173"/>
    </row>
    <row r="174" spans="1:7" ht="15.75" thickBot="1" x14ac:dyDescent="0.3">
      <c r="A174" s="566"/>
      <c r="B174" s="567"/>
      <c r="C174" s="550"/>
      <c r="D174" s="550"/>
      <c r="E174" s="565"/>
      <c r="F174"/>
      <c r="G174"/>
    </row>
    <row r="175" spans="1:7" ht="15.75" thickBot="1" x14ac:dyDescent="0.3">
      <c r="A175" s="563"/>
      <c r="B175" s="564"/>
      <c r="C175" s="548"/>
      <c r="D175" s="548"/>
      <c r="E175" s="565"/>
      <c r="F175"/>
      <c r="G175"/>
    </row>
    <row r="176" spans="1:7" ht="15.75" thickBot="1" x14ac:dyDescent="0.3">
      <c r="A176" s="566"/>
      <c r="B176" s="567"/>
      <c r="C176" s="550"/>
      <c r="D176" s="550"/>
      <c r="E176" s="565"/>
      <c r="F176"/>
      <c r="G176"/>
    </row>
    <row r="177" spans="1:7" ht="15.75" thickBot="1" x14ac:dyDescent="0.3">
      <c r="A177" s="563"/>
      <c r="B177" s="564"/>
      <c r="C177" s="548"/>
      <c r="D177" s="548"/>
      <c r="E177" s="565"/>
      <c r="F177"/>
      <c r="G177"/>
    </row>
    <row r="178" spans="1:7" ht="15.75" thickBot="1" x14ac:dyDescent="0.3">
      <c r="A178" s="566"/>
      <c r="B178" s="567"/>
      <c r="C178" s="550"/>
      <c r="D178" s="550"/>
      <c r="E178" s="565"/>
      <c r="F178"/>
      <c r="G178"/>
    </row>
    <row r="179" spans="1:7" ht="15.75" thickBot="1" x14ac:dyDescent="0.3">
      <c r="A179" s="563"/>
      <c r="B179" s="564"/>
      <c r="C179" s="548"/>
      <c r="D179" s="548"/>
      <c r="E179" s="565"/>
      <c r="F179"/>
      <c r="G179"/>
    </row>
    <row r="180" spans="1:7" ht="15.75" thickBot="1" x14ac:dyDescent="0.3">
      <c r="A180" s="566"/>
      <c r="B180" s="567"/>
      <c r="C180" s="550"/>
      <c r="D180" s="550"/>
      <c r="E180" s="565"/>
      <c r="F180"/>
      <c r="G180"/>
    </row>
    <row r="181" spans="1:7" ht="15.75" thickBot="1" x14ac:dyDescent="0.3">
      <c r="A181" s="563"/>
      <c r="B181" s="564"/>
      <c r="C181" s="548"/>
      <c r="D181" s="548"/>
      <c r="E181" s="565"/>
      <c r="F181"/>
      <c r="G181"/>
    </row>
    <row r="182" spans="1:7" ht="15.75" thickBot="1" x14ac:dyDescent="0.3">
      <c r="A182" s="566"/>
      <c r="B182" s="567"/>
      <c r="C182" s="550"/>
      <c r="D182" s="550"/>
      <c r="E182" s="565"/>
      <c r="F182"/>
      <c r="G182"/>
    </row>
    <row r="183" spans="1:7" ht="15.75" thickBot="1" x14ac:dyDescent="0.3">
      <c r="A183" s="563"/>
      <c r="B183" s="564"/>
      <c r="C183" s="548"/>
      <c r="D183" s="548"/>
      <c r="E183" s="565"/>
      <c r="F183"/>
      <c r="G183"/>
    </row>
    <row r="184" spans="1:7" ht="15.75" thickBot="1" x14ac:dyDescent="0.3">
      <c r="A184" s="566"/>
      <c r="B184" s="567"/>
      <c r="C184" s="550"/>
      <c r="D184" s="550"/>
      <c r="E184" s="565"/>
      <c r="F184"/>
      <c r="G184"/>
    </row>
    <row r="185" spans="1:7" ht="15.75" thickBot="1" x14ac:dyDescent="0.3">
      <c r="A185" s="563"/>
      <c r="B185" s="564"/>
      <c r="C185" s="548"/>
      <c r="D185" s="548"/>
      <c r="E185" s="565"/>
      <c r="F185"/>
      <c r="G185"/>
    </row>
    <row r="186" spans="1:7" ht="15.75" thickBot="1" x14ac:dyDescent="0.3">
      <c r="A186" s="566"/>
      <c r="B186" s="567"/>
      <c r="C186" s="550"/>
      <c r="D186" s="550"/>
      <c r="E186" s="565"/>
      <c r="F186"/>
      <c r="G186"/>
    </row>
    <row r="187" spans="1:7" ht="15.75" thickBot="1" x14ac:dyDescent="0.3">
      <c r="A187" s="563"/>
      <c r="B187" s="564"/>
      <c r="C187" s="548"/>
      <c r="D187" s="548"/>
      <c r="E187" s="565"/>
      <c r="F187"/>
      <c r="G187"/>
    </row>
    <row r="188" spans="1:7" ht="15.75" thickBot="1" x14ac:dyDescent="0.3">
      <c r="A188" s="566"/>
      <c r="B188" s="567"/>
      <c r="C188" s="550"/>
      <c r="D188" s="550"/>
      <c r="E188" s="565"/>
      <c r="F188"/>
      <c r="G188"/>
    </row>
    <row r="189" spans="1:7" ht="15.75" thickBot="1" x14ac:dyDescent="0.3">
      <c r="A189" s="563"/>
      <c r="B189" s="564"/>
      <c r="C189" s="557"/>
      <c r="D189" s="557"/>
      <c r="E189" s="565"/>
      <c r="F189"/>
      <c r="G189"/>
    </row>
    <row r="190" spans="1:7" ht="15.75" thickBot="1" x14ac:dyDescent="0.3">
      <c r="A190" s="566"/>
      <c r="B190" s="567"/>
      <c r="C190" s="550"/>
      <c r="D190" s="550"/>
      <c r="E190" s="565"/>
      <c r="F190"/>
      <c r="G190"/>
    </row>
    <row r="191" spans="1:7" ht="15.75" thickBot="1" x14ac:dyDescent="0.3">
      <c r="A191" s="563"/>
      <c r="B191" s="564"/>
      <c r="C191" s="568"/>
      <c r="D191" s="568"/>
      <c r="E191" s="565"/>
      <c r="F191"/>
      <c r="G191"/>
    </row>
    <row r="192" spans="1:7" ht="15.75" thickBot="1" x14ac:dyDescent="0.3">
      <c r="A192" s="566"/>
      <c r="B192" s="567"/>
      <c r="C192" s="569"/>
      <c r="D192" s="569"/>
      <c r="E192" s="565"/>
      <c r="F192"/>
      <c r="G192"/>
    </row>
    <row r="193" spans="1:7" ht="15.75" thickBot="1" x14ac:dyDescent="0.3">
      <c r="A193" s="563"/>
      <c r="B193" s="564"/>
      <c r="C193" s="548"/>
      <c r="D193" s="548"/>
      <c r="E193" s="565"/>
      <c r="F193"/>
      <c r="G193"/>
    </row>
    <row r="194" spans="1:7" ht="15.75" thickBot="1" x14ac:dyDescent="0.3">
      <c r="A194" s="566"/>
      <c r="B194" s="567"/>
      <c r="C194" s="550"/>
      <c r="D194" s="550"/>
      <c r="E194" s="570"/>
      <c r="F194"/>
      <c r="G194"/>
    </row>
    <row r="195" spans="1:7" x14ac:dyDescent="0.25">
      <c r="A195" s="536"/>
      <c r="B195"/>
      <c r="C195"/>
      <c r="D195"/>
      <c r="E195"/>
      <c r="F195"/>
      <c r="G195"/>
    </row>
    <row r="196" spans="1:7" x14ac:dyDescent="0.25">
      <c r="A196" s="541"/>
      <c r="B196"/>
      <c r="C196"/>
      <c r="D196"/>
      <c r="E196"/>
      <c r="F196"/>
      <c r="G196"/>
    </row>
    <row r="197" spans="1:7" x14ac:dyDescent="0.25">
      <c r="A197" s="536"/>
      <c r="B197"/>
      <c r="C197"/>
      <c r="D197"/>
      <c r="E197"/>
      <c r="F197"/>
      <c r="G197"/>
    </row>
    <row r="198" spans="1:7" ht="18" x14ac:dyDescent="0.25">
      <c r="A198" s="540"/>
      <c r="B198"/>
      <c r="C198"/>
      <c r="D198"/>
      <c r="E198"/>
      <c r="F198"/>
      <c r="G198"/>
    </row>
    <row r="199" spans="1:7" x14ac:dyDescent="0.25">
      <c r="A199" s="541"/>
      <c r="B199"/>
      <c r="C199"/>
      <c r="D199"/>
      <c r="E199"/>
      <c r="F199"/>
      <c r="G199"/>
    </row>
    <row r="200" spans="1:7" ht="15.75" thickBot="1" x14ac:dyDescent="0.3">
      <c r="A200" s="536"/>
      <c r="B200"/>
      <c r="C200"/>
      <c r="D200"/>
      <c r="E200"/>
      <c r="F200"/>
      <c r="G200"/>
    </row>
    <row r="201" spans="1:7" ht="15.75" thickBot="1" x14ac:dyDescent="0.3">
      <c r="A201" s="544"/>
      <c r="B201" s="545"/>
      <c r="C201" s="545"/>
      <c r="D201"/>
      <c r="E201"/>
      <c r="F201"/>
      <c r="G201"/>
    </row>
    <row r="202" spans="1:7" ht="15.75" thickBot="1" x14ac:dyDescent="0.3">
      <c r="A202" s="571"/>
      <c r="B202" s="572"/>
      <c r="C202" s="548"/>
      <c r="D202"/>
      <c r="E202"/>
      <c r="F202"/>
      <c r="G202"/>
    </row>
    <row r="203" spans="1:7" ht="15.75" thickBot="1" x14ac:dyDescent="0.3">
      <c r="A203" s="573"/>
      <c r="B203" s="572"/>
      <c r="C203" s="550"/>
      <c r="D203"/>
      <c r="E203"/>
      <c r="F203"/>
      <c r="G203"/>
    </row>
    <row r="204" spans="1:7" ht="15.75" thickBot="1" x14ac:dyDescent="0.3">
      <c r="A204" s="571"/>
      <c r="B204" s="572"/>
      <c r="C204" s="548"/>
      <c r="D204"/>
      <c r="E204"/>
      <c r="F204"/>
      <c r="G204"/>
    </row>
    <row r="205" spans="1:7" ht="15.75" thickBot="1" x14ac:dyDescent="0.3">
      <c r="A205" s="573"/>
      <c r="B205" s="572"/>
      <c r="C205" s="550"/>
      <c r="D205"/>
      <c r="E205"/>
      <c r="F205"/>
      <c r="G205"/>
    </row>
    <row r="206" spans="1:7" ht="15.75" thickBot="1" x14ac:dyDescent="0.3">
      <c r="A206" s="571"/>
      <c r="B206" s="572"/>
      <c r="C206" s="548"/>
      <c r="D206"/>
      <c r="E206"/>
      <c r="F206"/>
      <c r="G206"/>
    </row>
    <row r="207" spans="1:7" ht="15.75" thickBot="1" x14ac:dyDescent="0.3">
      <c r="A207" s="573"/>
      <c r="B207" s="572"/>
      <c r="C207" s="550"/>
      <c r="D207"/>
      <c r="E207"/>
      <c r="F207"/>
      <c r="G207"/>
    </row>
    <row r="208" spans="1:7" ht="15.75" thickBot="1" x14ac:dyDescent="0.3">
      <c r="A208" s="571"/>
      <c r="B208" s="572"/>
      <c r="C208" s="548"/>
      <c r="D208"/>
      <c r="E208"/>
      <c r="F208"/>
      <c r="G208"/>
    </row>
    <row r="209" spans="1:7" ht="15.75" thickBot="1" x14ac:dyDescent="0.3">
      <c r="A209" s="573"/>
      <c r="B209" s="572"/>
      <c r="C209" s="550"/>
      <c r="D209"/>
      <c r="E209"/>
      <c r="F209"/>
      <c r="G209"/>
    </row>
    <row r="210" spans="1:7" ht="15.75" thickBot="1" x14ac:dyDescent="0.3">
      <c r="A210" s="571"/>
      <c r="B210" s="572"/>
      <c r="C210" s="548"/>
      <c r="D210"/>
      <c r="E210"/>
      <c r="F210"/>
      <c r="G210"/>
    </row>
    <row r="211" spans="1:7" x14ac:dyDescent="0.25">
      <c r="A211" s="536"/>
      <c r="B211"/>
      <c r="C211"/>
      <c r="D211"/>
      <c r="E211"/>
      <c r="F211"/>
      <c r="G211"/>
    </row>
    <row r="212" spans="1:7" x14ac:dyDescent="0.25">
      <c r="A212" s="541"/>
      <c r="B212"/>
      <c r="C212"/>
      <c r="D212"/>
      <c r="E212"/>
      <c r="F212"/>
      <c r="G212"/>
    </row>
    <row r="213" spans="1:7" x14ac:dyDescent="0.25">
      <c r="A213" s="536"/>
      <c r="B213"/>
      <c r="C213"/>
      <c r="D213"/>
      <c r="E213"/>
      <c r="F213"/>
      <c r="G213"/>
    </row>
    <row r="214" spans="1:7" ht="18" x14ac:dyDescent="0.25">
      <c r="A214" s="540"/>
      <c r="B214"/>
      <c r="C214"/>
      <c r="D214"/>
      <c r="E214"/>
      <c r="F214"/>
      <c r="G214"/>
    </row>
    <row r="215" spans="1:7" x14ac:dyDescent="0.25">
      <c r="A215" s="541"/>
      <c r="B215"/>
      <c r="C215"/>
      <c r="D215"/>
      <c r="E215"/>
      <c r="F215"/>
      <c r="G215"/>
    </row>
    <row r="216" spans="1:7" ht="15.75" thickBot="1" x14ac:dyDescent="0.3">
      <c r="A216" s="536"/>
      <c r="B216"/>
      <c r="C216"/>
      <c r="D216"/>
      <c r="E216"/>
      <c r="F216"/>
      <c r="G216"/>
    </row>
    <row r="217" spans="1:7" ht="15.75" thickBot="1" x14ac:dyDescent="0.3">
      <c r="A217" s="574"/>
      <c r="B217" s="607"/>
      <c r="C217" s="608"/>
      <c r="D217" s="575"/>
      <c r="E217" s="575"/>
      <c r="F217"/>
      <c r="G217"/>
    </row>
    <row r="218" spans="1:7" ht="24" customHeight="1" thickBot="1" x14ac:dyDescent="0.3">
      <c r="A218" s="609"/>
      <c r="B218" s="610"/>
      <c r="C218" s="611"/>
      <c r="D218" s="612"/>
      <c r="E218" s="613"/>
      <c r="F218"/>
      <c r="G218"/>
    </row>
    <row r="219" spans="1:7" ht="15.75" thickBot="1" x14ac:dyDescent="0.3">
      <c r="A219" s="609"/>
      <c r="B219" s="610"/>
      <c r="C219" s="611"/>
      <c r="D219" s="612"/>
      <c r="E219" s="613"/>
      <c r="F219"/>
      <c r="G219"/>
    </row>
    <row r="220" spans="1:7" x14ac:dyDescent="0.25">
      <c r="A220" s="576"/>
      <c r="B220" s="576"/>
      <c r="C220" s="576"/>
      <c r="D220" s="576"/>
      <c r="E220" s="576"/>
      <c r="F220"/>
      <c r="G220"/>
    </row>
    <row r="221" spans="1:7" x14ac:dyDescent="0.25">
      <c r="A221" s="576"/>
      <c r="B221" s="576"/>
      <c r="C221" s="576"/>
      <c r="D221" s="576"/>
      <c r="E221" s="576"/>
      <c r="F221"/>
      <c r="G221"/>
    </row>
    <row r="222" spans="1:7" x14ac:dyDescent="0.25">
      <c r="A222" s="536"/>
      <c r="B222"/>
      <c r="C222"/>
      <c r="D222"/>
      <c r="E222"/>
      <c r="F222"/>
      <c r="G222"/>
    </row>
    <row r="223" spans="1:7" ht="18" x14ac:dyDescent="0.25">
      <c r="A223" s="540"/>
      <c r="B223"/>
      <c r="C223"/>
      <c r="D223"/>
      <c r="E223"/>
      <c r="F223"/>
      <c r="G223"/>
    </row>
    <row r="224" spans="1:7" x14ac:dyDescent="0.25">
      <c r="A224" s="541"/>
      <c r="B224"/>
      <c r="C224"/>
      <c r="D224"/>
      <c r="E224"/>
      <c r="F224"/>
      <c r="G224"/>
    </row>
    <row r="225" spans="1:7" x14ac:dyDescent="0.25">
      <c r="A225" s="541"/>
      <c r="B225"/>
      <c r="C225"/>
      <c r="D225"/>
      <c r="E225"/>
      <c r="F225"/>
      <c r="G225"/>
    </row>
    <row r="226" spans="1:7" x14ac:dyDescent="0.25">
      <c r="A226" s="541"/>
      <c r="B226"/>
      <c r="C226"/>
      <c r="D226"/>
      <c r="E226"/>
      <c r="F226"/>
      <c r="G226"/>
    </row>
    <row r="227" spans="1:7" x14ac:dyDescent="0.25">
      <c r="A227" s="541"/>
      <c r="B227"/>
      <c r="C227"/>
      <c r="D227"/>
      <c r="E227"/>
      <c r="F227"/>
      <c r="G227"/>
    </row>
    <row r="228" spans="1:7" x14ac:dyDescent="0.25">
      <c r="A228" s="536"/>
      <c r="B228"/>
      <c r="C228"/>
      <c r="D228"/>
      <c r="E228"/>
      <c r="F228"/>
      <c r="G228"/>
    </row>
    <row r="229" spans="1:7" x14ac:dyDescent="0.25">
      <c r="A229" s="577"/>
      <c r="B229"/>
      <c r="C229"/>
      <c r="D229"/>
      <c r="E229"/>
      <c r="F229"/>
      <c r="G229"/>
    </row>
  </sheetData>
  <mergeCells count="5">
    <mergeCell ref="B217:C217"/>
    <mergeCell ref="A218:B218"/>
    <mergeCell ref="C218:E218"/>
    <mergeCell ref="A219:B219"/>
    <mergeCell ref="C219:E21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CA100"/>
  <sheetViews>
    <sheetView tabSelected="1" zoomScaleNormal="100" workbookViewId="0">
      <selection activeCell="D4" sqref="D4"/>
    </sheetView>
  </sheetViews>
  <sheetFormatPr defaultRowHeight="15" x14ac:dyDescent="0.25"/>
  <cols>
    <col min="1" max="1" width="40.28515625" customWidth="1"/>
    <col min="2" max="2" width="16.140625" customWidth="1"/>
    <col min="3" max="7" width="19.7109375" customWidth="1"/>
    <col min="8" max="8" width="14.28515625" customWidth="1"/>
    <col min="9" max="10" width="12.85546875" customWidth="1"/>
    <col min="11" max="11" width="12.42578125" customWidth="1"/>
    <col min="12" max="12" width="12.7109375" customWidth="1"/>
    <col min="13" max="13" width="10.42578125" customWidth="1"/>
    <col min="14" max="15" width="10" customWidth="1"/>
    <col min="16" max="16" width="11.7109375" customWidth="1"/>
    <col min="17" max="17" width="16.42578125" customWidth="1"/>
    <col min="18" max="18" width="17.42578125" customWidth="1"/>
    <col min="19" max="19" width="10" customWidth="1"/>
    <col min="20" max="20" width="14.28515625" customWidth="1"/>
    <col min="21" max="22" width="12.42578125" customWidth="1"/>
    <col min="23" max="23" width="10.85546875" customWidth="1"/>
    <col min="24" max="24" width="13.140625" customWidth="1"/>
    <col min="25" max="25" width="11.28515625" customWidth="1"/>
    <col min="26" max="26" width="11" customWidth="1"/>
    <col min="27" max="27" width="12.5703125" customWidth="1"/>
    <col min="28" max="28" width="12.140625" customWidth="1"/>
    <col min="29" max="30" width="9.140625" customWidth="1"/>
    <col min="31" max="31" width="9.140625" hidden="1" customWidth="1"/>
    <col min="32" max="33" width="9.140625" customWidth="1"/>
    <col min="34" max="34" width="29.85546875" hidden="1" customWidth="1"/>
    <col min="35" max="36" width="9.140625" hidden="1" customWidth="1"/>
    <col min="37" max="37" width="10" customWidth="1"/>
    <col min="38" max="67" width="9.140625" customWidth="1"/>
    <col min="69" max="69" width="12.28515625" customWidth="1"/>
  </cols>
  <sheetData>
    <row r="1" spans="1:79" ht="50.45" customHeight="1" thickBot="1" x14ac:dyDescent="0.3">
      <c r="A1" s="629" t="s">
        <v>716</v>
      </c>
      <c r="B1" s="630"/>
      <c r="C1" s="630"/>
      <c r="D1" s="630"/>
      <c r="E1" s="630"/>
      <c r="F1" s="630"/>
      <c r="G1" s="630"/>
      <c r="H1" s="630"/>
      <c r="I1" s="630"/>
      <c r="J1" s="630"/>
      <c r="K1" s="630"/>
      <c r="L1" s="630"/>
      <c r="M1" s="630"/>
      <c r="N1" s="630"/>
      <c r="O1" s="630"/>
      <c r="P1" s="630"/>
      <c r="Q1" s="630"/>
      <c r="R1" s="630"/>
      <c r="S1" s="630"/>
      <c r="T1" s="631"/>
    </row>
    <row r="2" spans="1:79" ht="23.25" x14ac:dyDescent="0.35">
      <c r="A2" s="632" t="s">
        <v>193</v>
      </c>
      <c r="B2" s="633"/>
      <c r="C2" s="633"/>
      <c r="D2" s="633"/>
      <c r="E2" s="633"/>
      <c r="F2" s="633"/>
      <c r="G2" s="633"/>
      <c r="H2" s="633"/>
      <c r="I2" s="633"/>
      <c r="J2" s="634"/>
      <c r="K2" s="100"/>
      <c r="L2" s="100"/>
      <c r="M2" s="100"/>
      <c r="N2" s="100"/>
      <c r="O2" s="100"/>
      <c r="P2" s="100"/>
      <c r="Q2" s="100"/>
      <c r="R2" s="100"/>
      <c r="S2" s="100"/>
      <c r="T2" s="101"/>
    </row>
    <row r="3" spans="1:79" ht="18.75" x14ac:dyDescent="0.3">
      <c r="A3" s="645" t="s">
        <v>198</v>
      </c>
      <c r="B3" s="645"/>
      <c r="C3" s="645"/>
      <c r="D3" s="645"/>
      <c r="E3" s="645"/>
      <c r="F3" s="645"/>
      <c r="G3" s="645"/>
      <c r="H3" s="645"/>
      <c r="I3" s="645"/>
      <c r="J3" s="645"/>
      <c r="T3" s="138"/>
    </row>
    <row r="4" spans="1:79" ht="19.5" thickBot="1" x14ac:dyDescent="0.35">
      <c r="A4" s="198" t="s">
        <v>24</v>
      </c>
      <c r="B4" s="689" t="s">
        <v>570</v>
      </c>
      <c r="C4" s="690"/>
      <c r="O4" s="615" t="s">
        <v>91</v>
      </c>
      <c r="P4" s="687"/>
      <c r="Q4" s="687"/>
      <c r="R4" s="688"/>
      <c r="T4" s="122" t="s">
        <v>101</v>
      </c>
      <c r="Y4" s="658" t="s">
        <v>156</v>
      </c>
      <c r="Z4" s="659"/>
      <c r="AA4" s="659"/>
      <c r="AB4" s="683"/>
      <c r="AE4" s="143"/>
    </row>
    <row r="5" spans="1:79" ht="18.75" x14ac:dyDescent="0.3">
      <c r="A5" s="103" t="s">
        <v>102</v>
      </c>
      <c r="B5" s="697"/>
      <c r="C5" s="698"/>
      <c r="E5" s="700" t="s">
        <v>407</v>
      </c>
      <c r="F5" s="701"/>
      <c r="G5" s="702"/>
      <c r="O5" s="129" t="s">
        <v>96</v>
      </c>
      <c r="P5" s="136" t="s">
        <v>98</v>
      </c>
      <c r="Q5" s="137" t="s">
        <v>172</v>
      </c>
      <c r="R5" s="127" t="s">
        <v>152</v>
      </c>
      <c r="T5" s="123" t="s">
        <v>100</v>
      </c>
      <c r="Y5" s="684" t="s">
        <v>157</v>
      </c>
      <c r="Z5" s="685"/>
      <c r="AA5" s="685"/>
      <c r="AB5" s="686"/>
      <c r="BP5" s="329"/>
      <c r="BQ5" s="34"/>
      <c r="BR5" s="34"/>
      <c r="BS5" s="34"/>
      <c r="BT5" s="34"/>
    </row>
    <row r="6" spans="1:79" ht="16.5" thickBot="1" x14ac:dyDescent="0.3">
      <c r="A6" s="103" t="s">
        <v>103</v>
      </c>
      <c r="B6" s="699"/>
      <c r="C6" s="698"/>
      <c r="E6" s="326"/>
      <c r="F6" s="652" t="s">
        <v>409</v>
      </c>
      <c r="G6" s="653"/>
      <c r="N6" s="34"/>
      <c r="O6" s="129" t="s">
        <v>97</v>
      </c>
      <c r="P6" s="136" t="s">
        <v>99</v>
      </c>
      <c r="Q6" s="130" t="s">
        <v>173</v>
      </c>
      <c r="R6" s="128" t="str">
        <f>C15</f>
        <v>lbf</v>
      </c>
      <c r="T6" s="139">
        <f>B16*B19</f>
        <v>1.5E-5</v>
      </c>
      <c r="Y6" s="146" t="s">
        <v>532</v>
      </c>
      <c r="Z6" s="146" t="s">
        <v>47</v>
      </c>
      <c r="AA6" s="146" t="s">
        <v>153</v>
      </c>
      <c r="AB6" s="146" t="s">
        <v>154</v>
      </c>
      <c r="AC6" s="146" t="s">
        <v>155</v>
      </c>
      <c r="AD6" s="146" t="s">
        <v>158</v>
      </c>
      <c r="AE6">
        <v>0</v>
      </c>
      <c r="AF6" t="str">
        <f>R7</f>
        <v/>
      </c>
      <c r="BQ6" s="329"/>
      <c r="BR6" s="329"/>
      <c r="BS6" s="34"/>
      <c r="BT6" s="34"/>
      <c r="BU6" s="34"/>
      <c r="BV6" s="34"/>
      <c r="BW6" s="34"/>
      <c r="BX6" s="34"/>
      <c r="BY6" s="34"/>
      <c r="BZ6" s="34"/>
    </row>
    <row r="7" spans="1:79" ht="15.75" x14ac:dyDescent="0.25">
      <c r="A7" s="103" t="s">
        <v>360</v>
      </c>
      <c r="B7" s="693"/>
      <c r="C7" s="694"/>
      <c r="E7" s="327"/>
      <c r="F7" s="654" t="s">
        <v>408</v>
      </c>
      <c r="G7" s="655"/>
      <c r="N7" s="46">
        <v>1</v>
      </c>
      <c r="O7" s="508"/>
      <c r="P7" s="509"/>
      <c r="Q7" s="179" t="str" cm="1">
        <f t="array" ref="Q7:Q18">IFERROR(AD7:AD18,"")</f>
        <v/>
      </c>
      <c r="R7" s="125" t="str">
        <f>IF(O7&gt;0.01, ABS(O7*P7), "")</f>
        <v/>
      </c>
      <c r="T7" s="140">
        <f>IFERROR(O7*$T$6, "")</f>
        <v>0</v>
      </c>
      <c r="Y7" s="165">
        <f t="shared" ref="Y7:Y18" si="0">B31</f>
        <v>0</v>
      </c>
      <c r="Z7" s="165">
        <f>IFERROR(O7,"")</f>
        <v>0</v>
      </c>
      <c r="AA7" s="23" t="str">
        <f>IFERROR(SLOPE(AF6:AF7,AE6:AE7),"")</f>
        <v/>
      </c>
      <c r="AB7" s="23" t="str">
        <f>IFERROR(INTERCEPT(AF6:AF7,AE6:AE7),"")</f>
        <v/>
      </c>
      <c r="AC7" s="166" t="str">
        <f>IFERROR((AA7*Y7)+AB7,"")</f>
        <v/>
      </c>
      <c r="AD7" s="455" t="str" cm="1">
        <f t="array" ref="AD7">IFERROR(_xlfn.LET(_xlpm.x,B31,_xlpm.rowNum,MATCH(TRUE, _xlpm.x &lt;= $Z$7:$Z$18, 0),_xlpm.x * INDEX($AA$7:$AA$18, _xlpm.rowNum) + INDEX($AB$7:$AB$18, _xlpm.rowNum)),"")</f>
        <v/>
      </c>
      <c r="AE7" s="143">
        <f>Z7</f>
        <v>0</v>
      </c>
      <c r="AF7" t="str">
        <f>R7</f>
        <v/>
      </c>
      <c r="AG7" s="34"/>
      <c r="BQ7" s="329"/>
      <c r="BR7" s="330"/>
      <c r="BS7" s="34"/>
      <c r="BT7" s="331"/>
      <c r="BU7" s="34"/>
      <c r="BV7" s="34"/>
      <c r="BW7" s="34"/>
      <c r="BX7" s="34"/>
      <c r="BY7" s="34"/>
      <c r="BZ7" s="34"/>
      <c r="CA7" s="118"/>
    </row>
    <row r="8" spans="1:79" ht="15.75" x14ac:dyDescent="0.25">
      <c r="A8" s="103" t="s">
        <v>559</v>
      </c>
      <c r="B8" s="693"/>
      <c r="C8" s="694"/>
      <c r="E8" s="646" t="s">
        <v>410</v>
      </c>
      <c r="F8" s="647"/>
      <c r="G8" s="648"/>
      <c r="N8" s="46">
        <v>2</v>
      </c>
      <c r="O8" s="510"/>
      <c r="P8" s="511"/>
      <c r="Q8" s="179" t="str">
        <v/>
      </c>
      <c r="R8" s="125" t="str">
        <f>IF(O8&gt;0.01, ABS(O8*P8), "")</f>
        <v/>
      </c>
      <c r="T8" s="140">
        <f t="shared" ref="T8:T18" si="1">IFERROR(O8*$T$6, "")</f>
        <v>0</v>
      </c>
      <c r="Y8" s="165">
        <f t="shared" si="0"/>
        <v>0</v>
      </c>
      <c r="Z8" s="165">
        <f t="shared" ref="Z8:Z18" si="2">IFERROR(O8,"")</f>
        <v>0</v>
      </c>
      <c r="AA8" s="142" t="str">
        <f t="shared" ref="AA8:AA18" si="3">IFERROR(SLOPE(R7:R8,O7:O8),"")</f>
        <v/>
      </c>
      <c r="AB8" s="142" t="str">
        <f t="shared" ref="AB8:AB18" si="4">IFERROR(INTERCEPT(R7:R8,O7:O8),"")</f>
        <v/>
      </c>
      <c r="AC8" s="166" t="str">
        <f t="shared" ref="AC8:AC18" si="5">IFERROR((AA8*Y8)+AB8,"")</f>
        <v/>
      </c>
      <c r="AD8" s="455" t="str" cm="1">
        <f t="array" ref="AD8">IFERROR(_xlfn.LET(_xlpm.x,B32,_xlpm.rowNum,MATCH(TRUE, _xlpm.x &lt;= $Z$7:$Z$18, 0),_xlpm.x * INDEX($AA$7:$AA$18, _xlpm.rowNum) + INDEX($AB$7:$AB$18, _xlpm.rowNum)),"")</f>
        <v/>
      </c>
      <c r="BQ8" s="329"/>
      <c r="BR8" s="332"/>
      <c r="BS8" s="34"/>
      <c r="BT8" s="331"/>
      <c r="BU8" s="34"/>
      <c r="BV8" s="34"/>
      <c r="BW8" s="34"/>
      <c r="BX8" s="34"/>
      <c r="BY8" s="34"/>
      <c r="BZ8" s="34"/>
      <c r="CA8" s="118"/>
    </row>
    <row r="9" spans="1:79" ht="16.5" thickBot="1" x14ac:dyDescent="0.3">
      <c r="A9" s="104" t="s">
        <v>368</v>
      </c>
      <c r="B9" s="695" t="s">
        <v>47</v>
      </c>
      <c r="C9" s="696"/>
      <c r="E9" s="649"/>
      <c r="F9" s="650"/>
      <c r="G9" s="651"/>
      <c r="N9" s="46">
        <v>3</v>
      </c>
      <c r="O9" s="512"/>
      <c r="P9" s="511"/>
      <c r="Q9" s="179" t="str">
        <v/>
      </c>
      <c r="R9" s="125" t="str">
        <f t="shared" ref="R9:R18" si="6">IF(O9&gt;0.01, ABS(O9*P9), "")</f>
        <v/>
      </c>
      <c r="T9" s="140">
        <f t="shared" si="1"/>
        <v>0</v>
      </c>
      <c r="Y9" s="165">
        <f t="shared" si="0"/>
        <v>0</v>
      </c>
      <c r="Z9" s="165">
        <f t="shared" si="2"/>
        <v>0</v>
      </c>
      <c r="AA9" s="142" t="str">
        <f>IFERROR(SLOPE(R8:R9,O8:O9),"")</f>
        <v/>
      </c>
      <c r="AB9" s="142" t="str">
        <f>IFERROR(INTERCEPT(R8:R9,O8:O9),"")</f>
        <v/>
      </c>
      <c r="AC9" s="166" t="str">
        <f t="shared" si="5"/>
        <v/>
      </c>
      <c r="AD9" s="455" t="str" cm="1">
        <f t="array" ref="AD9">IFERROR(_xlfn.LET(_xlpm.x,B33,_xlpm.rowNum,MATCH(TRUE, _xlpm.x &lt;= $Z$7:$Z$18, 0),_xlpm.x * INDEX($AA$7:$AA$18, _xlpm.rowNum) + INDEX($AB$7:$AB$18, _xlpm.rowNum)),"")</f>
        <v/>
      </c>
      <c r="BQ9" s="329"/>
      <c r="BR9" s="332"/>
      <c r="BS9" s="34"/>
      <c r="BT9" s="331"/>
      <c r="BU9" s="34"/>
      <c r="BV9" s="34"/>
      <c r="BW9" s="34"/>
      <c r="BX9" s="34"/>
      <c r="BY9" s="34"/>
      <c r="BZ9" s="34"/>
      <c r="CA9" s="118"/>
    </row>
    <row r="10" spans="1:79" ht="15.75" x14ac:dyDescent="0.25">
      <c r="A10" s="124" t="s">
        <v>560</v>
      </c>
      <c r="B10" s="675"/>
      <c r="C10" s="676"/>
      <c r="E10" s="479"/>
      <c r="F10" s="479"/>
      <c r="G10" s="479"/>
      <c r="N10" s="46">
        <v>4</v>
      </c>
      <c r="O10" s="512"/>
      <c r="P10" s="511"/>
      <c r="Q10" s="179" t="str">
        <v/>
      </c>
      <c r="R10" s="125" t="str">
        <f t="shared" si="6"/>
        <v/>
      </c>
      <c r="T10" s="140">
        <f t="shared" si="1"/>
        <v>0</v>
      </c>
      <c r="Y10" s="165">
        <f t="shared" si="0"/>
        <v>0</v>
      </c>
      <c r="Z10" s="165">
        <f t="shared" si="2"/>
        <v>0</v>
      </c>
      <c r="AA10" s="142" t="str">
        <f>IFERROR(SLOPE(R9:R10,O9:O10),"")</f>
        <v/>
      </c>
      <c r="AB10" s="142" t="str">
        <f>IFERROR(INTERCEPT(R9:R10,O9:O10),"")</f>
        <v/>
      </c>
      <c r="AC10" s="166" t="str">
        <f t="shared" si="5"/>
        <v/>
      </c>
      <c r="AD10" s="455" t="str" cm="1">
        <f t="array" ref="AD10">IFERROR(_xlfn.LET(_xlpm.x,B34,_xlpm.rowNum,MATCH(TRUE, _xlpm.x &lt;= $Z$7:$Z$18, 0),_xlpm.x * INDEX($AA$7:$AA$18, _xlpm.rowNum) + INDEX($AB$7:$AB$18, _xlpm.rowNum)),"")</f>
        <v/>
      </c>
      <c r="AI10" t="s">
        <v>216</v>
      </c>
      <c r="AJ10" s="447" t="s">
        <v>176</v>
      </c>
      <c r="BQ10" s="329"/>
      <c r="BR10" s="332"/>
      <c r="BS10" s="34"/>
      <c r="BT10" s="331"/>
      <c r="BU10" s="34"/>
      <c r="BV10" s="34"/>
      <c r="BW10" s="34"/>
      <c r="BX10" s="34"/>
      <c r="BY10" s="34"/>
      <c r="BZ10" s="34"/>
      <c r="CA10" s="118"/>
    </row>
    <row r="11" spans="1:79" ht="15.75" x14ac:dyDescent="0.25">
      <c r="A11" s="124" t="s">
        <v>58</v>
      </c>
      <c r="B11" s="493"/>
      <c r="C11" s="494" t="s">
        <v>478</v>
      </c>
      <c r="N11" s="46">
        <v>5</v>
      </c>
      <c r="O11" s="512"/>
      <c r="P11" s="511"/>
      <c r="Q11" s="179" t="str">
        <v/>
      </c>
      <c r="R11" s="125" t="str">
        <f t="shared" si="6"/>
        <v/>
      </c>
      <c r="T11" s="140">
        <f t="shared" si="1"/>
        <v>0</v>
      </c>
      <c r="Y11" s="165">
        <f t="shared" si="0"/>
        <v>0</v>
      </c>
      <c r="Z11" s="165">
        <f t="shared" si="2"/>
        <v>0</v>
      </c>
      <c r="AA11" s="142" t="str">
        <f t="shared" si="3"/>
        <v/>
      </c>
      <c r="AB11" s="142" t="str">
        <f t="shared" si="4"/>
        <v/>
      </c>
      <c r="AC11" s="166" t="str">
        <f t="shared" si="5"/>
        <v/>
      </c>
      <c r="AD11" s="455" t="str" cm="1">
        <f t="array" ref="AD11">IFERROR(_xlfn.LET(_xlpm.x,B35,_xlpm.rowNum,MATCH(TRUE, _xlpm.x &lt;= $Z$7:$Z$18, 0),_xlpm.x * INDEX($AA$7:$AA$18, _xlpm.rowNum) + INDEX($AB$7:$AB$18, _xlpm.rowNum)),"")</f>
        <v/>
      </c>
      <c r="AI11" t="s">
        <v>185</v>
      </c>
      <c r="AJ11" s="448" t="s">
        <v>177</v>
      </c>
      <c r="BQ11" s="329"/>
      <c r="BR11" s="332"/>
      <c r="BS11" s="34"/>
      <c r="BT11" s="331"/>
      <c r="BU11" s="34"/>
      <c r="BV11" s="34"/>
      <c r="BW11" s="34"/>
      <c r="BX11" s="34"/>
      <c r="BY11" s="34"/>
      <c r="BZ11" s="34"/>
      <c r="CA11" s="118"/>
    </row>
    <row r="12" spans="1:79" ht="16.5" thickBot="1" x14ac:dyDescent="0.3">
      <c r="A12" s="104"/>
      <c r="B12" s="91"/>
      <c r="C12" s="92"/>
      <c r="N12" s="46">
        <v>6</v>
      </c>
      <c r="O12" s="512"/>
      <c r="P12" s="511"/>
      <c r="Q12" s="179" t="str">
        <v/>
      </c>
      <c r="R12" s="125" t="str">
        <f t="shared" si="6"/>
        <v/>
      </c>
      <c r="T12" s="140">
        <f t="shared" si="1"/>
        <v>0</v>
      </c>
      <c r="Y12" s="165">
        <f t="shared" si="0"/>
        <v>0</v>
      </c>
      <c r="Z12" s="165">
        <f t="shared" si="2"/>
        <v>0</v>
      </c>
      <c r="AA12" s="142" t="str">
        <f t="shared" si="3"/>
        <v/>
      </c>
      <c r="AB12" s="142" t="str">
        <f t="shared" si="4"/>
        <v/>
      </c>
      <c r="AC12" s="166" t="str">
        <f t="shared" si="5"/>
        <v/>
      </c>
      <c r="AD12" s="455" t="str" cm="1">
        <f t="array" ref="AD12">IFERROR(_xlfn.LET(_xlpm.x,B36,_xlpm.rowNum,MATCH(TRUE, _xlpm.x &lt;= $Z$7:$Z$18, 0),_xlpm.x * INDEX($AA$7:$AA$18, _xlpm.rowNum) + INDEX($AB$7:$AB$18, _xlpm.rowNum)),"")</f>
        <v/>
      </c>
      <c r="AI12" t="s">
        <v>175</v>
      </c>
      <c r="AJ12" s="449" t="s">
        <v>186</v>
      </c>
      <c r="BQ12" s="329"/>
      <c r="BR12" s="332"/>
      <c r="BS12" s="34"/>
      <c r="BT12" s="331"/>
      <c r="BU12" s="34"/>
      <c r="BV12" s="34"/>
      <c r="BW12" s="34"/>
      <c r="BX12" s="34"/>
      <c r="BY12" s="34"/>
      <c r="BZ12" s="34"/>
      <c r="CA12" s="118"/>
    </row>
    <row r="13" spans="1:79" ht="16.5" thickBot="1" x14ac:dyDescent="0.3">
      <c r="A13" s="635" t="s">
        <v>192</v>
      </c>
      <c r="B13" s="636"/>
      <c r="C13" s="637"/>
      <c r="K13" s="667" t="s">
        <v>529</v>
      </c>
      <c r="L13" s="668"/>
      <c r="M13" s="669"/>
      <c r="N13" s="46">
        <v>7</v>
      </c>
      <c r="O13" s="512"/>
      <c r="P13" s="511"/>
      <c r="Q13" s="179" t="str">
        <v/>
      </c>
      <c r="R13" s="125" t="str">
        <f t="shared" si="6"/>
        <v/>
      </c>
      <c r="T13" s="140">
        <f t="shared" si="1"/>
        <v>0</v>
      </c>
      <c r="Y13" s="165">
        <f t="shared" si="0"/>
        <v>0</v>
      </c>
      <c r="Z13" s="165">
        <f t="shared" si="2"/>
        <v>0</v>
      </c>
      <c r="AA13" s="142" t="str">
        <f t="shared" si="3"/>
        <v/>
      </c>
      <c r="AB13" s="142" t="str">
        <f t="shared" si="4"/>
        <v/>
      </c>
      <c r="AC13" s="166" t="str">
        <f t="shared" si="5"/>
        <v/>
      </c>
      <c r="AD13" s="455" t="str" cm="1">
        <f t="array" ref="AD13">IFERROR(_xlfn.LET(_xlpm.x,B37,_xlpm.rowNum,MATCH(TRUE, _xlpm.x &lt;= $Z$7:$Z$18, 0),_xlpm.x * INDEX($AA$7:$AA$18, _xlpm.rowNum) + INDEX($AB$7:$AB$18, _xlpm.rowNum)),"")</f>
        <v/>
      </c>
      <c r="AI13" t="s">
        <v>523</v>
      </c>
      <c r="AJ13" s="446" t="s">
        <v>527</v>
      </c>
      <c r="BQ13" s="329"/>
      <c r="BR13" s="332"/>
      <c r="BS13" s="34"/>
      <c r="BT13" s="331"/>
      <c r="BU13" s="34"/>
      <c r="BV13" s="34"/>
      <c r="BW13" s="34"/>
      <c r="BX13" s="34"/>
      <c r="BY13" s="34"/>
      <c r="BZ13" s="34"/>
      <c r="CA13" s="118"/>
    </row>
    <row r="14" spans="1:79" ht="15.75" x14ac:dyDescent="0.25">
      <c r="A14" s="195" t="s">
        <v>216</v>
      </c>
      <c r="B14" s="492"/>
      <c r="C14" s="494" t="str">
        <f>C11</f>
        <v>lbf</v>
      </c>
      <c r="D14" s="703" t="str">
        <f>VLOOKUP(A14,AI10:AJ13,2,FALSE)</f>
        <v xml:space="preserve">* This is your ASTM E74 LLF Found on Your ASTM E74 Report.  It will be converted to a pooled std dev </v>
      </c>
      <c r="E14" s="704"/>
      <c r="F14" s="704"/>
      <c r="G14" s="704"/>
      <c r="H14" s="704"/>
      <c r="I14" s="704"/>
      <c r="J14" s="704"/>
      <c r="K14" s="467" t="s">
        <v>62</v>
      </c>
      <c r="L14" s="468" t="s">
        <v>546</v>
      </c>
      <c r="M14" s="466" t="str">
        <f>_xlfn.CONCAT("std Unc ", C14)</f>
        <v>std Unc lbf</v>
      </c>
      <c r="N14" s="46">
        <v>8</v>
      </c>
      <c r="O14" s="512"/>
      <c r="P14" s="511"/>
      <c r="Q14" s="179" t="str">
        <v/>
      </c>
      <c r="R14" s="125" t="str">
        <f t="shared" si="6"/>
        <v/>
      </c>
      <c r="T14" s="140">
        <f t="shared" si="1"/>
        <v>0</v>
      </c>
      <c r="Y14" s="165">
        <f t="shared" si="0"/>
        <v>0</v>
      </c>
      <c r="Z14" s="165">
        <f t="shared" si="2"/>
        <v>0</v>
      </c>
      <c r="AA14" s="142" t="str">
        <f t="shared" si="3"/>
        <v/>
      </c>
      <c r="AB14" s="142" t="str">
        <f t="shared" si="4"/>
        <v/>
      </c>
      <c r="AC14" s="166" t="str">
        <f t="shared" si="5"/>
        <v/>
      </c>
      <c r="AD14" s="455" t="str" cm="1">
        <f t="array" ref="AD14">IFERROR(_xlfn.LET(_xlpm.x,B38,_xlpm.rowNum,MATCH(TRUE, _xlpm.x &lt;= $Z$7:$Z$18, 0),_xlpm.x * INDEX($AA$7:$AA$18, _xlpm.rowNum) + INDEX($AB$7:$AB$18, _xlpm.rowNum)),"")</f>
        <v/>
      </c>
      <c r="BQ14" s="329"/>
      <c r="BR14" s="332"/>
      <c r="BS14" s="34"/>
      <c r="BT14" s="331"/>
      <c r="BU14" s="34"/>
      <c r="BV14" s="34"/>
      <c r="BW14" s="34"/>
      <c r="BX14" s="34"/>
      <c r="BY14" s="34"/>
      <c r="BZ14" s="34"/>
      <c r="CA14" s="118"/>
    </row>
    <row r="15" spans="1:79" ht="15.75" x14ac:dyDescent="0.25">
      <c r="A15" s="103" t="s">
        <v>196</v>
      </c>
      <c r="B15" s="493">
        <v>2.4E-2</v>
      </c>
      <c r="C15" s="494" t="str">
        <f>C11</f>
        <v>lbf</v>
      </c>
      <c r="K15" s="450" t="str">
        <f>IF(O7&gt;0,O7,"")</f>
        <v/>
      </c>
      <c r="L15" s="505"/>
      <c r="M15" s="451" t="str">
        <f>IFERROR((K15*L15)/2,"")</f>
        <v/>
      </c>
      <c r="N15" s="46">
        <v>9</v>
      </c>
      <c r="O15" s="512"/>
      <c r="P15" s="511"/>
      <c r="Q15" s="179" t="str">
        <v/>
      </c>
      <c r="R15" s="125" t="str">
        <f t="shared" si="6"/>
        <v/>
      </c>
      <c r="T15" s="140">
        <f t="shared" si="1"/>
        <v>0</v>
      </c>
      <c r="Y15" s="165">
        <f t="shared" si="0"/>
        <v>0</v>
      </c>
      <c r="Z15" s="165">
        <f t="shared" si="2"/>
        <v>0</v>
      </c>
      <c r="AA15" s="142" t="str">
        <f t="shared" si="3"/>
        <v/>
      </c>
      <c r="AB15" s="142" t="str">
        <f t="shared" si="4"/>
        <v/>
      </c>
      <c r="AC15" s="166" t="str">
        <f t="shared" si="5"/>
        <v/>
      </c>
      <c r="AD15" s="455" t="str" cm="1">
        <f t="array" ref="AD15">IFERROR(_xlfn.LET(_xlpm.x,B39,_xlpm.rowNum,MATCH(TRUE, _xlpm.x &lt;= $Z$7:$Z$18, 0),_xlpm.x * INDEX($AA$7:$AA$18, _xlpm.rowNum) + INDEX($AB$7:$AB$18, _xlpm.rowNum)),"")</f>
        <v/>
      </c>
      <c r="BQ15" s="329"/>
      <c r="BR15" s="332"/>
      <c r="BS15" s="34"/>
      <c r="BT15" s="331"/>
      <c r="BU15" s="34"/>
      <c r="BV15" s="34"/>
      <c r="BW15" s="34"/>
      <c r="BX15" s="34"/>
      <c r="BY15" s="34"/>
      <c r="BZ15" s="34"/>
      <c r="CA15" s="118"/>
    </row>
    <row r="16" spans="1:79" ht="15.75" x14ac:dyDescent="0.25">
      <c r="A16" s="103" t="s">
        <v>104</v>
      </c>
      <c r="B16" s="495">
        <v>1.5E-5</v>
      </c>
      <c r="C16" s="91"/>
      <c r="K16" s="450" t="str">
        <f>IF(O8&gt;0,O8,"")</f>
        <v/>
      </c>
      <c r="L16" s="506"/>
      <c r="M16" s="451" t="str">
        <f t="shared" ref="M16:M26" si="7">IFERROR((K16*L16)/2,"")</f>
        <v/>
      </c>
      <c r="N16" s="46">
        <v>10</v>
      </c>
      <c r="O16" s="512"/>
      <c r="P16" s="511"/>
      <c r="Q16" s="179" t="str">
        <v/>
      </c>
      <c r="R16" s="125" t="str">
        <f t="shared" si="6"/>
        <v/>
      </c>
      <c r="T16" s="140">
        <f t="shared" si="1"/>
        <v>0</v>
      </c>
      <c r="Y16" s="165">
        <f t="shared" si="0"/>
        <v>0</v>
      </c>
      <c r="Z16" s="165">
        <f t="shared" si="2"/>
        <v>0</v>
      </c>
      <c r="AA16" s="142" t="str">
        <f t="shared" si="3"/>
        <v/>
      </c>
      <c r="AB16" s="142" t="str">
        <f t="shared" si="4"/>
        <v/>
      </c>
      <c r="AC16" s="166" t="str">
        <f t="shared" si="5"/>
        <v/>
      </c>
      <c r="AD16" s="455" t="str" cm="1">
        <f t="array" ref="AD16">IFERROR(_xlfn.LET(_xlpm.x,B40,_xlpm.rowNum,MATCH(TRUE, _xlpm.x &lt;= $Z$7:$Z$18, 0),_xlpm.x * INDEX($AA$7:$AA$18, _xlpm.rowNum) + INDEX($AB$7:$AB$18, _xlpm.rowNum)),"")</f>
        <v/>
      </c>
      <c r="BQ16" s="329"/>
      <c r="BR16" s="332"/>
      <c r="BS16" s="34"/>
      <c r="BT16" s="331"/>
      <c r="BU16" s="34"/>
      <c r="BV16" s="34"/>
      <c r="BW16" s="34"/>
      <c r="BX16" s="34"/>
      <c r="BY16" s="34"/>
      <c r="BZ16" s="34"/>
      <c r="CA16" s="118"/>
    </row>
    <row r="17" spans="1:79" ht="15.75" x14ac:dyDescent="0.25">
      <c r="A17" s="104"/>
      <c r="B17" s="92"/>
      <c r="C17" s="92"/>
      <c r="K17" s="450" t="str">
        <f>IF(O9&gt;0,O9,"")</f>
        <v/>
      </c>
      <c r="L17" s="506"/>
      <c r="M17" s="451" t="str">
        <f>IFERROR((K17*L17)/2,"")</f>
        <v/>
      </c>
      <c r="N17" s="46">
        <v>11</v>
      </c>
      <c r="O17" s="512"/>
      <c r="P17" s="511"/>
      <c r="Q17" s="179" t="str">
        <v/>
      </c>
      <c r="R17" s="125" t="str">
        <f t="shared" si="6"/>
        <v/>
      </c>
      <c r="T17" s="140">
        <f t="shared" si="1"/>
        <v>0</v>
      </c>
      <c r="Y17" s="165">
        <f t="shared" si="0"/>
        <v>0</v>
      </c>
      <c r="Z17" s="165">
        <f t="shared" si="2"/>
        <v>0</v>
      </c>
      <c r="AA17" s="142" t="str">
        <f t="shared" si="3"/>
        <v/>
      </c>
      <c r="AB17" s="142" t="str">
        <f t="shared" si="4"/>
        <v/>
      </c>
      <c r="AC17" s="166" t="str">
        <f t="shared" si="5"/>
        <v/>
      </c>
      <c r="AD17" s="455" t="str" cm="1">
        <f t="array" ref="AD17">IFERROR(_xlfn.LET(_xlpm.x,B41,_xlpm.rowNum,MATCH(TRUE, _xlpm.x &lt;= $Z$7:$Z$18, 0),_xlpm.x * INDEX($AA$7:$AA$18, _xlpm.rowNum) + INDEX($AB$7:$AB$18, _xlpm.rowNum)),"")</f>
        <v/>
      </c>
      <c r="BQ17" s="329"/>
      <c r="BR17" s="332"/>
      <c r="BS17" s="34"/>
      <c r="BT17" s="331"/>
      <c r="BU17" s="34"/>
      <c r="BV17" s="34"/>
      <c r="BW17" s="34"/>
      <c r="BX17" s="34"/>
      <c r="BY17" s="34"/>
      <c r="BZ17" s="34"/>
      <c r="CA17" s="118"/>
    </row>
    <row r="18" spans="1:79" ht="16.5" thickBot="1" x14ac:dyDescent="0.3">
      <c r="A18" s="167" t="s">
        <v>146</v>
      </c>
      <c r="B18" s="92"/>
      <c r="C18" s="92"/>
      <c r="K18" s="450" t="str">
        <f t="shared" ref="K18:K26" si="8">IF(O10&gt;0,O10,"")</f>
        <v/>
      </c>
      <c r="L18" s="506"/>
      <c r="M18" s="451" t="str">
        <f t="shared" si="7"/>
        <v/>
      </c>
      <c r="N18" s="46">
        <v>12</v>
      </c>
      <c r="O18" s="513"/>
      <c r="P18" s="514"/>
      <c r="Q18" s="179" t="str">
        <v/>
      </c>
      <c r="R18" s="125" t="str">
        <f t="shared" si="6"/>
        <v/>
      </c>
      <c r="T18" s="140">
        <f t="shared" si="1"/>
        <v>0</v>
      </c>
      <c r="Y18" s="165">
        <f t="shared" si="0"/>
        <v>0</v>
      </c>
      <c r="Z18" s="165">
        <f t="shared" si="2"/>
        <v>0</v>
      </c>
      <c r="AA18" s="142" t="str">
        <f t="shared" si="3"/>
        <v/>
      </c>
      <c r="AB18" s="142" t="str">
        <f t="shared" si="4"/>
        <v/>
      </c>
      <c r="AC18" s="166" t="str">
        <f t="shared" si="5"/>
        <v/>
      </c>
      <c r="AD18" s="477" t="str" cm="1">
        <f t="array" ref="AD18">IFERROR(_xlfn.LET(_xlpm.x,B42,_xlpm.rowNum,MATCH(TRUE, _xlpm.x &lt;= $Z$7:$Z$18, 0),_xlpm.x * INDEX($AA$7:$AA$18, _xlpm.rowNum) + INDEX($AB$7:$AB$18, _xlpm.rowNum)),"")</f>
        <v/>
      </c>
      <c r="BQ18" s="329"/>
      <c r="BR18" s="332"/>
      <c r="BS18" s="34"/>
      <c r="BT18" s="331"/>
      <c r="BU18" s="34"/>
      <c r="BV18" s="34"/>
      <c r="BW18" s="34"/>
      <c r="BX18" s="34"/>
      <c r="BY18" s="34"/>
      <c r="BZ18" s="34"/>
      <c r="CA18" s="118"/>
    </row>
    <row r="19" spans="1:79" ht="15.75" x14ac:dyDescent="0.25">
      <c r="A19" s="168" t="s">
        <v>138</v>
      </c>
      <c r="B19" s="493">
        <v>1</v>
      </c>
      <c r="C19" s="92"/>
      <c r="D19" t="s">
        <v>332</v>
      </c>
      <c r="K19" s="450" t="str">
        <f t="shared" si="8"/>
        <v/>
      </c>
      <c r="L19" s="506"/>
      <c r="M19" s="451" t="str">
        <f t="shared" si="7"/>
        <v/>
      </c>
      <c r="T19" s="102"/>
      <c r="BQ19" s="329"/>
      <c r="BR19" s="332"/>
      <c r="BS19" s="34"/>
      <c r="BT19" s="331"/>
      <c r="BU19" s="34"/>
      <c r="BV19" s="34"/>
      <c r="BW19" s="34"/>
      <c r="BX19" s="34"/>
      <c r="BY19" s="34"/>
      <c r="BZ19" s="34"/>
      <c r="CA19" s="118"/>
    </row>
    <row r="20" spans="1:79" ht="15.75" x14ac:dyDescent="0.25">
      <c r="A20" s="104"/>
      <c r="B20" s="92"/>
      <c r="C20" s="92"/>
      <c r="K20" s="450" t="str">
        <f t="shared" si="8"/>
        <v/>
      </c>
      <c r="L20" s="506"/>
      <c r="M20" s="451" t="str">
        <f t="shared" si="7"/>
        <v/>
      </c>
      <c r="O20" s="658" t="s">
        <v>197</v>
      </c>
      <c r="P20" s="659"/>
      <c r="Q20" s="659"/>
      <c r="R20" s="660"/>
      <c r="T20" s="102"/>
      <c r="Y20" s="143"/>
    </row>
    <row r="21" spans="1:79" ht="15.75" x14ac:dyDescent="0.25">
      <c r="A21" s="124" t="s">
        <v>528</v>
      </c>
      <c r="B21" s="495">
        <v>1.5999999999999999E-5</v>
      </c>
      <c r="C21" s="154"/>
      <c r="D21" s="60" t="s">
        <v>195</v>
      </c>
      <c r="E21" s="61"/>
      <c r="F21" s="61"/>
      <c r="G21" s="61"/>
      <c r="H21" s="61"/>
      <c r="I21" s="61"/>
      <c r="J21" s="61"/>
      <c r="K21" s="450" t="str">
        <f t="shared" si="8"/>
        <v/>
      </c>
      <c r="L21" s="506"/>
      <c r="M21" s="451" t="str">
        <f t="shared" si="7"/>
        <v/>
      </c>
      <c r="O21" s="131" t="s">
        <v>179</v>
      </c>
      <c r="P21" s="131" t="s">
        <v>180</v>
      </c>
      <c r="Q21" s="131" t="s">
        <v>181</v>
      </c>
      <c r="R21" s="131" t="s">
        <v>412</v>
      </c>
      <c r="T21" s="102"/>
    </row>
    <row r="22" spans="1:79" ht="16.5" thickBot="1" x14ac:dyDescent="0.3">
      <c r="A22" s="104"/>
      <c r="B22" s="93"/>
      <c r="C22" s="92"/>
      <c r="K22" s="450" t="str">
        <f t="shared" si="8"/>
        <v/>
      </c>
      <c r="L22" s="506"/>
      <c r="M22" s="451" t="str">
        <f t="shared" si="7"/>
        <v/>
      </c>
      <c r="O22" s="515"/>
      <c r="P22" s="515"/>
      <c r="Q22" s="515"/>
      <c r="R22" s="515"/>
      <c r="T22" s="102"/>
      <c r="Y22" t="s">
        <v>136</v>
      </c>
      <c r="Z22" s="34" t="s">
        <v>142</v>
      </c>
    </row>
    <row r="23" spans="1:79" ht="15.75" x14ac:dyDescent="0.25">
      <c r="A23" s="264" t="s">
        <v>366</v>
      </c>
      <c r="B23" s="496"/>
      <c r="C23" s="202" t="s">
        <v>95</v>
      </c>
      <c r="D23" s="603" t="s">
        <v>259</v>
      </c>
      <c r="E23" s="603"/>
      <c r="F23" s="603"/>
      <c r="G23" s="603"/>
      <c r="H23" s="603"/>
      <c r="K23" s="450" t="str">
        <f t="shared" si="8"/>
        <v/>
      </c>
      <c r="L23" s="506"/>
      <c r="M23" s="451" t="str">
        <f t="shared" si="7"/>
        <v/>
      </c>
      <c r="O23" s="661" t="s">
        <v>178</v>
      </c>
      <c r="P23" s="662"/>
      <c r="Q23" s="662"/>
      <c r="R23" s="663"/>
      <c r="T23" s="102"/>
      <c r="Y23" t="s">
        <v>135</v>
      </c>
      <c r="Z23" s="34" t="s">
        <v>147</v>
      </c>
      <c r="AC23" s="193"/>
    </row>
    <row r="24" spans="1:79" ht="15.75" x14ac:dyDescent="0.25">
      <c r="A24" s="103" t="s">
        <v>174</v>
      </c>
      <c r="B24" s="496">
        <v>3.0000000000000001E-3</v>
      </c>
      <c r="C24" s="202" t="s">
        <v>142</v>
      </c>
      <c r="D24" s="603" t="s">
        <v>411</v>
      </c>
      <c r="E24" s="603"/>
      <c r="F24" s="603"/>
      <c r="G24" s="603"/>
      <c r="H24" s="603"/>
      <c r="K24" s="450" t="str">
        <f t="shared" si="8"/>
        <v/>
      </c>
      <c r="L24" s="506"/>
      <c r="M24" s="451" t="str">
        <f t="shared" si="7"/>
        <v/>
      </c>
      <c r="O24" s="664" t="s">
        <v>182</v>
      </c>
      <c r="P24" s="665"/>
      <c r="Q24" s="665"/>
      <c r="R24" s="666"/>
      <c r="T24" s="102"/>
      <c r="Z24" s="34" t="s">
        <v>191</v>
      </c>
      <c r="AA24" s="34"/>
    </row>
    <row r="25" spans="1:79" ht="15.75" x14ac:dyDescent="0.25">
      <c r="A25" s="105"/>
      <c r="B25" s="6"/>
      <c r="K25" s="450" t="str">
        <f t="shared" si="8"/>
        <v/>
      </c>
      <c r="L25" s="506"/>
      <c r="M25" s="451" t="str">
        <f t="shared" si="7"/>
        <v/>
      </c>
      <c r="T25" s="102"/>
      <c r="Z25" s="34"/>
      <c r="AA25" s="34"/>
    </row>
    <row r="26" spans="1:79" ht="16.5" thickBot="1" x14ac:dyDescent="0.3">
      <c r="A26" s="126" t="s">
        <v>148</v>
      </c>
      <c r="B26" s="497" t="s">
        <v>136</v>
      </c>
      <c r="D26" s="147"/>
      <c r="K26" s="452" t="str">
        <f t="shared" si="8"/>
        <v/>
      </c>
      <c r="L26" s="507"/>
      <c r="M26" s="453" t="str">
        <f t="shared" si="7"/>
        <v/>
      </c>
      <c r="T26" s="102"/>
      <c r="Z26" s="34"/>
      <c r="AA26" s="34"/>
    </row>
    <row r="27" spans="1:79" ht="16.5" thickBot="1" x14ac:dyDescent="0.3">
      <c r="A27" s="103" t="s">
        <v>548</v>
      </c>
      <c r="B27" s="498">
        <v>33</v>
      </c>
      <c r="D27" s="147"/>
      <c r="T27" s="102"/>
    </row>
    <row r="28" spans="1:79" ht="19.5" thickBot="1" x14ac:dyDescent="0.35">
      <c r="A28" s="105"/>
      <c r="O28" s="615" t="s">
        <v>139</v>
      </c>
      <c r="P28" s="616"/>
      <c r="Q28" s="616"/>
      <c r="R28" s="616"/>
      <c r="S28" s="617"/>
      <c r="T28" s="141" t="s">
        <v>143</v>
      </c>
      <c r="W28" s="174" t="s">
        <v>184</v>
      </c>
      <c r="X28" s="173" t="s">
        <v>183</v>
      </c>
    </row>
    <row r="29" spans="1:79" ht="18.75" x14ac:dyDescent="0.3">
      <c r="A29" s="105"/>
      <c r="B29" s="615" t="s">
        <v>145</v>
      </c>
      <c r="C29" s="670"/>
      <c r="D29" s="670"/>
      <c r="E29" s="670"/>
      <c r="F29" s="670"/>
      <c r="G29" s="670"/>
      <c r="H29" s="670"/>
      <c r="I29" s="670"/>
      <c r="J29" s="670"/>
      <c r="K29" s="671"/>
      <c r="O29" s="90" t="s">
        <v>140</v>
      </c>
      <c r="P29" s="131" t="s">
        <v>95</v>
      </c>
      <c r="Q29" s="127" t="s">
        <v>147</v>
      </c>
      <c r="R29" s="119" t="s">
        <v>141</v>
      </c>
      <c r="S29" s="90" t="s">
        <v>144</v>
      </c>
      <c r="T29" s="120" t="s">
        <v>149</v>
      </c>
      <c r="W29" s="170" t="s">
        <v>140</v>
      </c>
      <c r="X29" s="171" t="str">
        <f>C11</f>
        <v>lbf</v>
      </c>
    </row>
    <row r="30" spans="1:79" ht="15.75" x14ac:dyDescent="0.25">
      <c r="A30" s="105"/>
      <c r="B30" s="127" t="s">
        <v>42</v>
      </c>
      <c r="C30" s="131" t="s">
        <v>129</v>
      </c>
      <c r="D30" s="131" t="s">
        <v>130</v>
      </c>
      <c r="E30" s="131" t="s">
        <v>131</v>
      </c>
      <c r="F30" s="131" t="s">
        <v>132</v>
      </c>
      <c r="G30" s="131" t="s">
        <v>535</v>
      </c>
      <c r="H30" s="90" t="s">
        <v>41</v>
      </c>
      <c r="I30" s="90" t="s">
        <v>11</v>
      </c>
      <c r="J30" s="90" t="s">
        <v>133</v>
      </c>
      <c r="K30" s="90" t="s">
        <v>137</v>
      </c>
      <c r="O30" s="41" t="str">
        <f t="shared" ref="O30:O41" si="9">IF(B31&gt;0,B31,"")</f>
        <v/>
      </c>
      <c r="P30" s="197">
        <f t="shared" ref="P30:P41" si="10">$B$21</f>
        <v>1.5999999999999999E-5</v>
      </c>
      <c r="Q30" s="515"/>
      <c r="R30" s="162">
        <f>IF(T30="Eng. Units",(Q30/O30),P30)</f>
        <v>1.5999999999999999E-5</v>
      </c>
      <c r="S30" s="41" t="str">
        <f t="shared" ref="S30:S40" si="11">O30</f>
        <v/>
      </c>
      <c r="T30" s="518" t="s">
        <v>142</v>
      </c>
      <c r="V30">
        <v>1</v>
      </c>
      <c r="W30" s="194">
        <f>IF($O7&gt;0,O7,0)</f>
        <v>0</v>
      </c>
      <c r="X30" s="172" t="str">
        <f>IF(W30&gt;0,(($O$22+$P$22*W30+($Q$22*W30)^2)/2)+$R$22,"")</f>
        <v/>
      </c>
    </row>
    <row r="31" spans="1:79" ht="15.75" x14ac:dyDescent="0.25">
      <c r="A31" s="105">
        <v>1</v>
      </c>
      <c r="B31" s="341">
        <f>IFERROR(O7,"")</f>
        <v>0</v>
      </c>
      <c r="C31" s="499"/>
      <c r="D31" s="500"/>
      <c r="E31" s="500"/>
      <c r="F31" s="500"/>
      <c r="G31" s="500"/>
      <c r="H31" s="94" t="str" cm="1">
        <f t="array" ref="H31:H42">IFERROR(_xlfn.BYROW(C31:G42,_xlfn.LAMBDA(_xlpm.row,AVERAGE(_xlpm.row))),"")</f>
        <v/>
      </c>
      <c r="I31" s="95" t="str" cm="1">
        <f t="array" ref="I31:I42">IFERROR(IF($B$26="YES",B31:B42/H31:H42,1),"")</f>
        <v/>
      </c>
      <c r="J31" s="97" t="str" cm="1">
        <f t="array" ref="J31:J42">IFERROR(_xlfn.BYROW(C31:G42,_xlfn.LAMBDA(_xlpm.row,STDEV(_xlpm.row))),"")</f>
        <v/>
      </c>
      <c r="K31" s="97" t="str" cm="1">
        <f t="array" ref="K31:K42">IFERROR(_xlfn.ANCHORARRAY(I31)*J31:J42,"")</f>
        <v/>
      </c>
      <c r="O31" s="41" t="str">
        <f t="shared" si="9"/>
        <v/>
      </c>
      <c r="P31" s="197">
        <f t="shared" si="10"/>
        <v>1.5999999999999999E-5</v>
      </c>
      <c r="Q31" s="516"/>
      <c r="R31" s="162">
        <f t="shared" ref="R31:R40" si="12">IF(T31="Eng. Units",(Q31/O31),P31)</f>
        <v>1.5999999999999999E-5</v>
      </c>
      <c r="S31" s="41" t="str">
        <f t="shared" si="11"/>
        <v/>
      </c>
      <c r="T31" s="518" t="s">
        <v>142</v>
      </c>
      <c r="V31">
        <v>2</v>
      </c>
      <c r="W31" s="194">
        <f>IF($O8&gt;0,O8,0)</f>
        <v>0</v>
      </c>
      <c r="X31" s="172" t="str">
        <f t="shared" ref="X31:X41" si="13">IF(W31&gt;0,(($O$22+$P$22*W31+($Q$22*W31)^2)/2)+$R$22,"")</f>
        <v/>
      </c>
    </row>
    <row r="32" spans="1:79" ht="15.75" x14ac:dyDescent="0.25">
      <c r="A32" s="105">
        <v>2</v>
      </c>
      <c r="B32" s="175">
        <f>O8</f>
        <v>0</v>
      </c>
      <c r="C32" s="499"/>
      <c r="D32" s="500"/>
      <c r="E32" s="500"/>
      <c r="F32" s="501"/>
      <c r="G32" s="501"/>
      <c r="H32" s="94" t="str">
        <v/>
      </c>
      <c r="I32" s="95" t="str">
        <v/>
      </c>
      <c r="J32" s="97" t="str">
        <v/>
      </c>
      <c r="K32" s="97" t="str">
        <v/>
      </c>
      <c r="O32" s="41" t="str">
        <f t="shared" si="9"/>
        <v/>
      </c>
      <c r="P32" s="197">
        <f t="shared" si="10"/>
        <v>1.5999999999999999E-5</v>
      </c>
      <c r="Q32" s="516"/>
      <c r="R32" s="162">
        <f t="shared" si="12"/>
        <v>1.5999999999999999E-5</v>
      </c>
      <c r="S32" s="41" t="str">
        <f t="shared" si="11"/>
        <v/>
      </c>
      <c r="T32" s="518" t="s">
        <v>142</v>
      </c>
      <c r="V32">
        <v>3</v>
      </c>
      <c r="W32" s="194">
        <f>IF($O9&gt;0,O9,0)</f>
        <v>0</v>
      </c>
      <c r="X32" s="172" t="str">
        <f t="shared" si="13"/>
        <v/>
      </c>
    </row>
    <row r="33" spans="1:25" ht="15.75" x14ac:dyDescent="0.25">
      <c r="A33" s="105">
        <v>3</v>
      </c>
      <c r="B33" s="175">
        <f>O9</f>
        <v>0</v>
      </c>
      <c r="C33" s="499"/>
      <c r="D33" s="500"/>
      <c r="E33" s="500"/>
      <c r="F33" s="500"/>
      <c r="G33" s="501"/>
      <c r="H33" s="263" t="str">
        <v/>
      </c>
      <c r="I33" s="95" t="str">
        <v/>
      </c>
      <c r="J33" s="97" t="str">
        <v/>
      </c>
      <c r="K33" s="97" t="str">
        <v/>
      </c>
      <c r="O33" s="41" t="str">
        <f t="shared" si="9"/>
        <v/>
      </c>
      <c r="P33" s="197">
        <f t="shared" si="10"/>
        <v>1.5999999999999999E-5</v>
      </c>
      <c r="Q33" s="516"/>
      <c r="R33" s="162">
        <f t="shared" si="12"/>
        <v>1.5999999999999999E-5</v>
      </c>
      <c r="S33" s="41" t="str">
        <f t="shared" si="11"/>
        <v/>
      </c>
      <c r="T33" s="518" t="s">
        <v>142</v>
      </c>
      <c r="V33">
        <v>4</v>
      </c>
      <c r="W33" s="194">
        <f t="shared" ref="W33:W41" si="14">IF($O10&gt;0,O10,0)</f>
        <v>0</v>
      </c>
      <c r="X33" s="172" t="str">
        <f t="shared" si="13"/>
        <v/>
      </c>
    </row>
    <row r="34" spans="1:25" ht="15.75" x14ac:dyDescent="0.25">
      <c r="A34" s="105">
        <v>4</v>
      </c>
      <c r="B34" s="175">
        <f t="shared" ref="B34:B42" si="15">O10</f>
        <v>0</v>
      </c>
      <c r="C34" s="499"/>
      <c r="D34" s="500"/>
      <c r="E34" s="500"/>
      <c r="F34" s="500"/>
      <c r="G34" s="501"/>
      <c r="H34" s="94" t="str">
        <v/>
      </c>
      <c r="I34" s="95" t="str">
        <v/>
      </c>
      <c r="J34" s="97" t="str">
        <v/>
      </c>
      <c r="K34" s="97" t="str">
        <v/>
      </c>
      <c r="O34" s="41" t="str">
        <f t="shared" si="9"/>
        <v/>
      </c>
      <c r="P34" s="197">
        <f t="shared" si="10"/>
        <v>1.5999999999999999E-5</v>
      </c>
      <c r="Q34" s="516"/>
      <c r="R34" s="162">
        <f t="shared" si="12"/>
        <v>1.5999999999999999E-5</v>
      </c>
      <c r="S34" s="41" t="str">
        <f t="shared" si="11"/>
        <v/>
      </c>
      <c r="T34" s="518" t="s">
        <v>142</v>
      </c>
      <c r="V34">
        <v>5</v>
      </c>
      <c r="W34" s="194">
        <f t="shared" si="14"/>
        <v>0</v>
      </c>
      <c r="X34" s="172" t="str">
        <f t="shared" si="13"/>
        <v/>
      </c>
    </row>
    <row r="35" spans="1:25" ht="15.75" x14ac:dyDescent="0.25">
      <c r="A35" s="105">
        <v>5</v>
      </c>
      <c r="B35" s="175">
        <f t="shared" si="15"/>
        <v>0</v>
      </c>
      <c r="C35" s="499"/>
      <c r="D35" s="500"/>
      <c r="E35" s="500"/>
      <c r="F35" s="500"/>
      <c r="G35" s="501"/>
      <c r="H35" s="94" t="str">
        <v/>
      </c>
      <c r="I35" s="95" t="str">
        <v/>
      </c>
      <c r="J35" s="97" t="str">
        <v/>
      </c>
      <c r="K35" s="97" t="str">
        <v/>
      </c>
      <c r="O35" s="41" t="str">
        <f t="shared" si="9"/>
        <v/>
      </c>
      <c r="P35" s="197">
        <f t="shared" si="10"/>
        <v>1.5999999999999999E-5</v>
      </c>
      <c r="Q35" s="516"/>
      <c r="R35" s="162">
        <f t="shared" si="12"/>
        <v>1.5999999999999999E-5</v>
      </c>
      <c r="S35" s="41" t="str">
        <f t="shared" si="11"/>
        <v/>
      </c>
      <c r="T35" s="518" t="s">
        <v>142</v>
      </c>
      <c r="V35">
        <v>6</v>
      </c>
      <c r="W35" s="194">
        <f t="shared" si="14"/>
        <v>0</v>
      </c>
      <c r="X35" s="172" t="str">
        <f t="shared" si="13"/>
        <v/>
      </c>
    </row>
    <row r="36" spans="1:25" ht="15.75" x14ac:dyDescent="0.25">
      <c r="A36" s="105">
        <v>6</v>
      </c>
      <c r="B36" s="175">
        <f t="shared" si="15"/>
        <v>0</v>
      </c>
      <c r="C36" s="499"/>
      <c r="D36" s="500"/>
      <c r="E36" s="500"/>
      <c r="F36" s="500"/>
      <c r="G36" s="501"/>
      <c r="H36" s="94" t="str">
        <v/>
      </c>
      <c r="I36" s="95" t="str">
        <v/>
      </c>
      <c r="J36" s="97" t="str">
        <v/>
      </c>
      <c r="K36" s="97" t="str">
        <v/>
      </c>
      <c r="O36" s="41" t="str">
        <f t="shared" si="9"/>
        <v/>
      </c>
      <c r="P36" s="197">
        <f t="shared" si="10"/>
        <v>1.5999999999999999E-5</v>
      </c>
      <c r="Q36" s="516"/>
      <c r="R36" s="162">
        <f t="shared" si="12"/>
        <v>1.5999999999999999E-5</v>
      </c>
      <c r="S36" s="41" t="str">
        <f t="shared" si="11"/>
        <v/>
      </c>
      <c r="T36" s="518" t="s">
        <v>142</v>
      </c>
      <c r="V36">
        <v>7</v>
      </c>
      <c r="W36" s="194">
        <f t="shared" si="14"/>
        <v>0</v>
      </c>
      <c r="X36" s="172" t="str">
        <f t="shared" si="13"/>
        <v/>
      </c>
    </row>
    <row r="37" spans="1:25" ht="15.75" x14ac:dyDescent="0.25">
      <c r="A37" s="105">
        <v>7</v>
      </c>
      <c r="B37" s="175">
        <f t="shared" si="15"/>
        <v>0</v>
      </c>
      <c r="C37" s="499"/>
      <c r="D37" s="500"/>
      <c r="E37" s="500"/>
      <c r="F37" s="500"/>
      <c r="G37" s="501"/>
      <c r="H37" s="94" t="str">
        <v/>
      </c>
      <c r="I37" s="95" t="str">
        <v/>
      </c>
      <c r="J37" s="97" t="str">
        <v/>
      </c>
      <c r="K37" s="97" t="str">
        <v/>
      </c>
      <c r="O37" s="41" t="str">
        <f t="shared" si="9"/>
        <v/>
      </c>
      <c r="P37" s="197">
        <f t="shared" si="10"/>
        <v>1.5999999999999999E-5</v>
      </c>
      <c r="Q37" s="516"/>
      <c r="R37" s="162">
        <f t="shared" si="12"/>
        <v>1.5999999999999999E-5</v>
      </c>
      <c r="S37" s="41" t="str">
        <f t="shared" si="11"/>
        <v/>
      </c>
      <c r="T37" s="518" t="s">
        <v>142</v>
      </c>
      <c r="V37">
        <v>8</v>
      </c>
      <c r="W37" s="194">
        <f t="shared" si="14"/>
        <v>0</v>
      </c>
      <c r="X37" s="172" t="str">
        <f t="shared" si="13"/>
        <v/>
      </c>
    </row>
    <row r="38" spans="1:25" ht="15.75" x14ac:dyDescent="0.25">
      <c r="A38" s="105">
        <v>8</v>
      </c>
      <c r="B38" s="175">
        <f t="shared" si="15"/>
        <v>0</v>
      </c>
      <c r="C38" s="499"/>
      <c r="D38" s="500"/>
      <c r="E38" s="500"/>
      <c r="F38" s="500"/>
      <c r="G38" s="501"/>
      <c r="H38" s="94" t="str">
        <v/>
      </c>
      <c r="I38" s="95" t="str">
        <v/>
      </c>
      <c r="J38" s="97" t="str">
        <v/>
      </c>
      <c r="K38" s="97" t="str">
        <v/>
      </c>
      <c r="O38" s="41" t="str">
        <f t="shared" si="9"/>
        <v/>
      </c>
      <c r="P38" s="197">
        <f t="shared" si="10"/>
        <v>1.5999999999999999E-5</v>
      </c>
      <c r="Q38" s="516"/>
      <c r="R38" s="162">
        <f t="shared" si="12"/>
        <v>1.5999999999999999E-5</v>
      </c>
      <c r="S38" s="41" t="str">
        <f t="shared" si="11"/>
        <v/>
      </c>
      <c r="T38" s="518" t="s">
        <v>142</v>
      </c>
      <c r="V38">
        <v>9</v>
      </c>
      <c r="W38" s="194">
        <f t="shared" si="14"/>
        <v>0</v>
      </c>
      <c r="X38" s="172" t="str">
        <f t="shared" si="13"/>
        <v/>
      </c>
    </row>
    <row r="39" spans="1:25" ht="15.75" x14ac:dyDescent="0.25">
      <c r="A39" s="105">
        <v>9</v>
      </c>
      <c r="B39" s="175">
        <f t="shared" si="15"/>
        <v>0</v>
      </c>
      <c r="C39" s="499"/>
      <c r="D39" s="500"/>
      <c r="E39" s="500"/>
      <c r="F39" s="500"/>
      <c r="G39" s="501"/>
      <c r="H39" s="94" t="str">
        <v/>
      </c>
      <c r="I39" s="95" t="str">
        <v/>
      </c>
      <c r="J39" s="97" t="str">
        <v/>
      </c>
      <c r="K39" s="97" t="str">
        <v/>
      </c>
      <c r="O39" s="41" t="str">
        <f t="shared" si="9"/>
        <v/>
      </c>
      <c r="P39" s="197">
        <f t="shared" si="10"/>
        <v>1.5999999999999999E-5</v>
      </c>
      <c r="Q39" s="516"/>
      <c r="R39" s="162">
        <f t="shared" si="12"/>
        <v>1.5999999999999999E-5</v>
      </c>
      <c r="S39" s="41" t="str">
        <f t="shared" si="11"/>
        <v/>
      </c>
      <c r="T39" s="518" t="s">
        <v>142</v>
      </c>
      <c r="V39">
        <v>10</v>
      </c>
      <c r="W39" s="194">
        <f t="shared" si="14"/>
        <v>0</v>
      </c>
      <c r="X39" s="172" t="str">
        <f t="shared" si="13"/>
        <v/>
      </c>
    </row>
    <row r="40" spans="1:25" ht="15.75" x14ac:dyDescent="0.25">
      <c r="A40" s="105">
        <v>10</v>
      </c>
      <c r="B40" s="175">
        <f t="shared" si="15"/>
        <v>0</v>
      </c>
      <c r="C40" s="499"/>
      <c r="D40" s="500"/>
      <c r="E40" s="500"/>
      <c r="F40" s="500"/>
      <c r="G40" s="501"/>
      <c r="H40" s="94" t="str">
        <v/>
      </c>
      <c r="I40" s="95" t="str">
        <v/>
      </c>
      <c r="J40" s="97" t="str">
        <v/>
      </c>
      <c r="K40" s="97" t="str">
        <v/>
      </c>
      <c r="O40" s="41" t="str">
        <f t="shared" si="9"/>
        <v/>
      </c>
      <c r="P40" s="197">
        <f t="shared" si="10"/>
        <v>1.5999999999999999E-5</v>
      </c>
      <c r="Q40" s="516"/>
      <c r="R40" s="162">
        <f t="shared" si="12"/>
        <v>1.5999999999999999E-5</v>
      </c>
      <c r="S40" s="41" t="str">
        <f t="shared" si="11"/>
        <v/>
      </c>
      <c r="T40" s="518" t="s">
        <v>142</v>
      </c>
      <c r="V40">
        <v>11</v>
      </c>
      <c r="W40" s="194">
        <f t="shared" si="14"/>
        <v>0</v>
      </c>
      <c r="X40" s="172" t="str">
        <f t="shared" si="13"/>
        <v/>
      </c>
    </row>
    <row r="41" spans="1:25" ht="16.5" thickBot="1" x14ac:dyDescent="0.3">
      <c r="A41" s="105">
        <v>11</v>
      </c>
      <c r="B41" s="175">
        <f t="shared" si="15"/>
        <v>0</v>
      </c>
      <c r="C41" s="499"/>
      <c r="D41" s="500"/>
      <c r="E41" s="500"/>
      <c r="F41" s="500"/>
      <c r="G41" s="501"/>
      <c r="H41" s="94" t="str">
        <v/>
      </c>
      <c r="I41" s="95" t="str">
        <v/>
      </c>
      <c r="J41" s="97" t="str">
        <v/>
      </c>
      <c r="K41" s="97" t="str">
        <v/>
      </c>
      <c r="N41" s="92"/>
      <c r="O41" s="41" t="str">
        <f t="shared" si="9"/>
        <v/>
      </c>
      <c r="P41" s="197">
        <f t="shared" si="10"/>
        <v>1.5999999999999999E-5</v>
      </c>
      <c r="Q41" s="517"/>
      <c r="R41" s="41">
        <f>IF(T41="Eng. Units",(Q41/Q61),P41)</f>
        <v>1.5999999999999999E-5</v>
      </c>
      <c r="S41" s="41">
        <f>Q61</f>
        <v>0</v>
      </c>
      <c r="T41" s="518" t="s">
        <v>142</v>
      </c>
      <c r="V41" s="46">
        <v>12</v>
      </c>
      <c r="W41" s="339">
        <f t="shared" si="14"/>
        <v>0</v>
      </c>
      <c r="X41" s="340" t="str">
        <f t="shared" si="13"/>
        <v/>
      </c>
    </row>
    <row r="42" spans="1:25" ht="15.75" x14ac:dyDescent="0.25">
      <c r="A42" s="105">
        <v>12</v>
      </c>
      <c r="B42" s="176">
        <f t="shared" si="15"/>
        <v>0</v>
      </c>
      <c r="C42" s="502"/>
      <c r="D42" s="503"/>
      <c r="E42" s="503"/>
      <c r="F42" s="503"/>
      <c r="G42" s="504"/>
      <c r="H42" s="94" t="str">
        <v/>
      </c>
      <c r="I42" s="95" t="str">
        <v/>
      </c>
      <c r="J42" s="97" t="str">
        <v/>
      </c>
      <c r="K42" s="97" t="str">
        <v/>
      </c>
      <c r="L42" s="92"/>
      <c r="M42" s="92"/>
      <c r="N42" s="92"/>
      <c r="O42" s="92"/>
      <c r="P42" s="92"/>
      <c r="Q42" s="92"/>
      <c r="R42" s="91"/>
      <c r="S42" s="92"/>
      <c r="T42" s="106"/>
      <c r="U42" s="98"/>
      <c r="V42" s="98"/>
      <c r="Y42" s="99"/>
    </row>
    <row r="43" spans="1:25" ht="15.75" x14ac:dyDescent="0.25">
      <c r="A43" s="105"/>
      <c r="G43" s="672" t="s">
        <v>134</v>
      </c>
      <c r="H43" s="673"/>
      <c r="I43" s="674"/>
      <c r="J43" s="97" t="str">
        <f>IFERROR(SQRT((SUMSQ(_xlfn.ANCHORARRAY(J31))/COUNT(_xlfn.ANCHORARRAY(J31)))),"")</f>
        <v/>
      </c>
      <c r="K43" s="96" t="str">
        <f>IFERROR(SQRT((SUMSQ(_xlfn.ANCHORARRAY(K31))/COUNT(_xlfn.ANCHORARRAY(K31)))),"")</f>
        <v/>
      </c>
      <c r="L43" s="92"/>
      <c r="M43" s="92"/>
      <c r="N43" s="92"/>
      <c r="O43" s="92"/>
      <c r="P43" s="92"/>
      <c r="Q43" s="92"/>
      <c r="R43" s="91"/>
      <c r="S43" s="92"/>
      <c r="T43" s="106"/>
      <c r="U43" s="98"/>
      <c r="V43" s="98"/>
      <c r="Y43" s="99"/>
    </row>
    <row r="44" spans="1:25" ht="16.5" thickBot="1" x14ac:dyDescent="0.3">
      <c r="A44" s="107"/>
      <c r="B44" s="108"/>
      <c r="C44" s="108"/>
      <c r="D44" s="108"/>
      <c r="E44" s="108"/>
      <c r="F44" s="108"/>
      <c r="G44" s="108"/>
      <c r="H44" s="108"/>
      <c r="I44" s="108"/>
      <c r="J44" s="109"/>
      <c r="K44" s="109"/>
      <c r="L44" s="109"/>
      <c r="M44" s="109"/>
      <c r="N44" s="109"/>
      <c r="O44" s="109"/>
      <c r="P44" s="109"/>
      <c r="Q44" s="109"/>
      <c r="R44" s="110"/>
      <c r="S44" s="109"/>
      <c r="T44" s="111"/>
      <c r="U44" s="98"/>
      <c r="V44" s="98"/>
      <c r="Y44" s="99"/>
    </row>
    <row r="45" spans="1:25" ht="16.5" thickBot="1" x14ac:dyDescent="0.3">
      <c r="A45" s="105"/>
      <c r="J45" s="92"/>
      <c r="K45" s="92"/>
      <c r="L45" s="92"/>
      <c r="M45" s="92"/>
      <c r="N45" s="92"/>
      <c r="O45" s="92"/>
      <c r="P45" s="92"/>
      <c r="Q45" s="92"/>
      <c r="R45" s="91"/>
      <c r="S45" s="92"/>
      <c r="T45" s="106"/>
    </row>
    <row r="46" spans="1:25" ht="19.5" thickBot="1" x14ac:dyDescent="0.35">
      <c r="A46" s="625" t="s">
        <v>200</v>
      </c>
      <c r="B46" s="626"/>
      <c r="C46" s="626"/>
      <c r="D46" s="626"/>
      <c r="E46" s="626"/>
      <c r="F46" s="626"/>
      <c r="G46" s="626"/>
      <c r="H46" s="626"/>
      <c r="I46" s="626"/>
      <c r="J46" s="627"/>
      <c r="R46" s="37"/>
      <c r="T46" s="169"/>
    </row>
    <row r="47" spans="1:25" ht="18.75" x14ac:dyDescent="0.3">
      <c r="A47" s="621" t="s">
        <v>199</v>
      </c>
      <c r="B47" s="622"/>
      <c r="C47" s="622"/>
      <c r="D47" s="623"/>
      <c r="E47" s="623"/>
      <c r="F47" s="623"/>
      <c r="G47" s="623"/>
      <c r="H47" s="623"/>
      <c r="I47" s="623"/>
      <c r="J47" s="623"/>
      <c r="K47" s="333" t="s">
        <v>13</v>
      </c>
      <c r="L47" s="334">
        <v>1</v>
      </c>
      <c r="M47" s="334"/>
      <c r="N47" s="100"/>
      <c r="O47" s="100"/>
      <c r="P47" s="100"/>
      <c r="Q47" s="100"/>
      <c r="R47" s="100"/>
      <c r="S47" s="100"/>
      <c r="T47" s="101"/>
    </row>
    <row r="48" spans="1:25" x14ac:dyDescent="0.25">
      <c r="A48" s="112" t="s">
        <v>24</v>
      </c>
      <c r="B48" s="624" t="str">
        <f>B4</f>
        <v>Morehouse V 3.31</v>
      </c>
      <c r="C48" s="624"/>
      <c r="D48" s="624"/>
      <c r="E48" s="624"/>
      <c r="F48" s="624"/>
      <c r="G48" s="624"/>
      <c r="H48" s="624"/>
      <c r="I48" s="624"/>
      <c r="J48" s="624"/>
      <c r="K48" s="335" t="s">
        <v>14</v>
      </c>
      <c r="L48" s="336">
        <v>1.96</v>
      </c>
      <c r="M48" s="336"/>
      <c r="Q48" s="656" t="str">
        <f>A24</f>
        <v>Miscellaneous Error</v>
      </c>
      <c r="R48" s="657"/>
      <c r="S48" s="132" t="s">
        <v>95</v>
      </c>
      <c r="T48" s="102"/>
    </row>
    <row r="49" spans="1:20" x14ac:dyDescent="0.25">
      <c r="A49" s="112" t="s">
        <v>25</v>
      </c>
      <c r="B49" s="3" t="s">
        <v>47</v>
      </c>
      <c r="C49" s="1" t="s">
        <v>26</v>
      </c>
      <c r="D49" s="3">
        <f>B7</f>
        <v>0</v>
      </c>
      <c r="E49" s="1" t="s">
        <v>27</v>
      </c>
      <c r="F49" s="624" t="s">
        <v>159</v>
      </c>
      <c r="G49" s="624"/>
      <c r="H49" s="624"/>
      <c r="I49" s="624"/>
      <c r="J49" s="624"/>
      <c r="K49" s="335" t="s">
        <v>15</v>
      </c>
      <c r="L49" s="336">
        <v>2</v>
      </c>
      <c r="M49" s="336"/>
      <c r="Q49" s="128" t="s">
        <v>140</v>
      </c>
      <c r="R49" s="128" t="str">
        <f>C24</f>
        <v xml:space="preserve">% </v>
      </c>
      <c r="S49" s="133" t="s">
        <v>151</v>
      </c>
      <c r="T49" s="102"/>
    </row>
    <row r="50" spans="1:20" x14ac:dyDescent="0.25">
      <c r="A50" s="112" t="s">
        <v>28</v>
      </c>
      <c r="B50" s="3">
        <f>B5</f>
        <v>0</v>
      </c>
      <c r="C50" s="691" t="s">
        <v>30</v>
      </c>
      <c r="D50" s="628">
        <f>B8</f>
        <v>0</v>
      </c>
      <c r="E50" s="628"/>
      <c r="F50" s="628"/>
      <c r="G50" s="628"/>
      <c r="H50" s="628"/>
      <c r="I50" s="628"/>
      <c r="J50" s="628"/>
      <c r="K50" s="335" t="s">
        <v>16</v>
      </c>
      <c r="L50" s="335">
        <v>2.5779999999999998</v>
      </c>
      <c r="M50" s="335"/>
      <c r="P50">
        <v>1</v>
      </c>
      <c r="Q50" s="135">
        <f t="shared" ref="Q50:Q61" si="16">IFERROR(B31,"")</f>
        <v>0</v>
      </c>
      <c r="R50" s="41">
        <f t="shared" ref="R50:R61" si="17">IFERROR(IF($R$49="Eng. Units",$B$24,($B$24*((Q50/100)))),"")</f>
        <v>0</v>
      </c>
      <c r="S50" s="134" t="str" cm="1">
        <f t="array" ref="S50:S61">IFERROR(R50:R61/Q50:Q61,"")</f>
        <v/>
      </c>
      <c r="T50" s="102"/>
    </row>
    <row r="51" spans="1:20" x14ac:dyDescent="0.25">
      <c r="A51" s="112" t="s">
        <v>29</v>
      </c>
      <c r="B51" s="32">
        <f>B6</f>
        <v>0</v>
      </c>
      <c r="C51" s="691"/>
      <c r="D51" s="628"/>
      <c r="E51" s="628"/>
      <c r="F51" s="628"/>
      <c r="G51" s="628"/>
      <c r="H51" s="628"/>
      <c r="I51" s="628"/>
      <c r="J51" s="628"/>
      <c r="K51" s="335" t="s">
        <v>17</v>
      </c>
      <c r="L51" s="336">
        <v>3</v>
      </c>
      <c r="M51" s="336"/>
      <c r="P51">
        <v>2</v>
      </c>
      <c r="Q51" s="135">
        <f t="shared" si="16"/>
        <v>0</v>
      </c>
      <c r="R51" s="41">
        <f t="shared" si="17"/>
        <v>0</v>
      </c>
      <c r="S51" s="134" t="str">
        <v/>
      </c>
      <c r="T51" s="102"/>
    </row>
    <row r="52" spans="1:20" ht="25.5" customHeight="1" thickBot="1" x14ac:dyDescent="0.3">
      <c r="A52" s="112" t="s">
        <v>22</v>
      </c>
      <c r="B52" s="1" t="s">
        <v>0</v>
      </c>
      <c r="C52" s="1" t="s">
        <v>1</v>
      </c>
      <c r="D52" s="62" t="s">
        <v>2</v>
      </c>
      <c r="E52" s="1" t="s">
        <v>3</v>
      </c>
      <c r="F52" s="1" t="s">
        <v>4</v>
      </c>
      <c r="G52" s="1" t="s">
        <v>5</v>
      </c>
      <c r="H52" s="1" t="s">
        <v>32</v>
      </c>
      <c r="I52" s="2" t="s">
        <v>6</v>
      </c>
      <c r="J52" s="1" t="s">
        <v>31</v>
      </c>
      <c r="K52" s="335" t="s">
        <v>18</v>
      </c>
      <c r="L52" s="335">
        <v>0</v>
      </c>
      <c r="M52" s="335"/>
      <c r="P52">
        <v>3</v>
      </c>
      <c r="Q52" s="135">
        <f t="shared" si="16"/>
        <v>0</v>
      </c>
      <c r="R52" s="41">
        <f t="shared" si="17"/>
        <v>0</v>
      </c>
      <c r="S52" s="134" t="str">
        <v/>
      </c>
      <c r="T52" s="102"/>
    </row>
    <row r="53" spans="1:20" x14ac:dyDescent="0.25">
      <c r="A53" s="523" t="s">
        <v>170</v>
      </c>
      <c r="B53" s="524" t="e">
        <f>SQRT('R &amp; R Between Techs'!B7^2+'R &amp; R Between Techs'!B8^2)</f>
        <v>#VALUE!</v>
      </c>
      <c r="C53" s="525" t="s">
        <v>7</v>
      </c>
      <c r="D53" s="261" t="str">
        <f>'R &amp; R Between Techs'!D7</f>
        <v>None</v>
      </c>
      <c r="E53" s="178">
        <f t="shared" ref="E53:E62" si="18">LOOKUP(D53,Distribution)</f>
        <v>0</v>
      </c>
      <c r="F53" s="529">
        <f>'R &amp; R Between Techs'!F7+'R &amp; R Between Techs'!F8</f>
        <v>-1</v>
      </c>
      <c r="G53" s="19" t="str" cm="1">
        <f t="array" ref="G53:G62">IFERROR(B53:B62/E53:E62," ")</f>
        <v xml:space="preserve"> </v>
      </c>
      <c r="H53" s="19" t="str" cm="1">
        <f t="array" ref="H53:H62">IFERROR(_xlfn.ANCHORARRAY( G53)^2," ")</f>
        <v xml:space="preserve"> </v>
      </c>
      <c r="I53" s="12" t="str" cm="1">
        <f t="array" ref="I53:I62">IFERROR(_xlfn.ANCHORARRAY(H53)/$H63," ")</f>
        <v xml:space="preserve"> </v>
      </c>
      <c r="J53" s="5" t="str" cm="1">
        <f t="array" ref="J53:J62">IFERROR(_xlfn.ANCHORARRAY(G53)^4/F53:F62," " )</f>
        <v xml:space="preserve"> </v>
      </c>
      <c r="K53" s="335" t="s">
        <v>8</v>
      </c>
      <c r="L53" s="336">
        <v>1</v>
      </c>
      <c r="M53" s="336"/>
      <c r="P53">
        <v>4</v>
      </c>
      <c r="Q53" s="135">
        <f t="shared" si="16"/>
        <v>0</v>
      </c>
      <c r="R53" s="41">
        <f t="shared" si="17"/>
        <v>0</v>
      </c>
      <c r="S53" s="134" t="str">
        <v/>
      </c>
      <c r="T53" s="102"/>
    </row>
    <row r="54" spans="1:20" x14ac:dyDescent="0.25">
      <c r="A54" s="526" t="s">
        <v>9</v>
      </c>
      <c r="B54" s="527" t="str">
        <f>IFERROR(I81,"")</f>
        <v/>
      </c>
      <c r="C54" s="528" t="s">
        <v>7</v>
      </c>
      <c r="D54" s="196" t="s">
        <v>8</v>
      </c>
      <c r="E54" s="178">
        <f t="shared" si="18"/>
        <v>1</v>
      </c>
      <c r="F54" s="529">
        <f>COUNT(C69:F80)-1</f>
        <v>-1</v>
      </c>
      <c r="G54" s="19" t="str">
        <v xml:space="preserve"> </v>
      </c>
      <c r="H54" s="19" t="str">
        <v xml:space="preserve"> </v>
      </c>
      <c r="I54" s="12" t="str">
        <v xml:space="preserve"> </v>
      </c>
      <c r="J54" s="5" t="str">
        <v xml:space="preserve"> </v>
      </c>
      <c r="K54" s="335" t="s">
        <v>19</v>
      </c>
      <c r="L54" s="336">
        <v>1.7320508075688772</v>
      </c>
      <c r="M54" s="336"/>
      <c r="P54">
        <v>5</v>
      </c>
      <c r="Q54" s="135">
        <f t="shared" si="16"/>
        <v>0</v>
      </c>
      <c r="R54" s="41">
        <f t="shared" si="17"/>
        <v>0</v>
      </c>
      <c r="S54" s="134" t="str">
        <v/>
      </c>
      <c r="T54" s="102"/>
    </row>
    <row r="55" spans="1:20" x14ac:dyDescent="0.25">
      <c r="A55" s="526" t="str">
        <f>A14</f>
        <v>ASTM E74 LLF</v>
      </c>
      <c r="B55" s="527">
        <f>IF(A14="ASTM E74 LLF",B14/2.4,IF(A14="ISO 376 Uncertainty",MAX(X30:X41),0))</f>
        <v>0</v>
      </c>
      <c r="C55" s="528" t="s">
        <v>7</v>
      </c>
      <c r="D55" s="196" t="s">
        <v>8</v>
      </c>
      <c r="E55" s="178">
        <f t="shared" si="18"/>
        <v>1</v>
      </c>
      <c r="F55" s="530">
        <f>B27-1</f>
        <v>32</v>
      </c>
      <c r="G55" s="19">
        <v>0</v>
      </c>
      <c r="H55" s="19">
        <v>0</v>
      </c>
      <c r="I55" s="12">
        <v>0</v>
      </c>
      <c r="J55" s="5">
        <v>0</v>
      </c>
      <c r="K55" s="335" t="s">
        <v>11</v>
      </c>
      <c r="L55" s="336">
        <v>3.4641016151377544</v>
      </c>
      <c r="M55" s="336"/>
      <c r="P55">
        <v>6</v>
      </c>
      <c r="Q55" s="135">
        <f t="shared" si="16"/>
        <v>0</v>
      </c>
      <c r="R55" s="41">
        <f t="shared" si="17"/>
        <v>0</v>
      </c>
      <c r="S55" s="134" t="str">
        <v/>
      </c>
      <c r="T55" s="102"/>
    </row>
    <row r="56" spans="1:20" x14ac:dyDescent="0.25">
      <c r="A56" s="526" t="s">
        <v>56</v>
      </c>
      <c r="B56" s="527">
        <f>B11</f>
        <v>0</v>
      </c>
      <c r="C56" s="528" t="s">
        <v>10</v>
      </c>
      <c r="D56" s="196" t="s">
        <v>11</v>
      </c>
      <c r="E56" s="178">
        <f t="shared" si="18"/>
        <v>3.4641016151377544</v>
      </c>
      <c r="F56" s="206">
        <v>200</v>
      </c>
      <c r="G56" s="19">
        <v>0</v>
      </c>
      <c r="H56" s="19">
        <v>0</v>
      </c>
      <c r="I56" s="12">
        <v>0</v>
      </c>
      <c r="J56" s="5">
        <v>0</v>
      </c>
      <c r="K56" s="335" t="s">
        <v>20</v>
      </c>
      <c r="L56" s="336">
        <v>2.4494897427831779</v>
      </c>
      <c r="M56" s="336"/>
      <c r="P56">
        <v>7</v>
      </c>
      <c r="Q56" s="135">
        <f t="shared" si="16"/>
        <v>0</v>
      </c>
      <c r="R56" s="41">
        <f t="shared" si="17"/>
        <v>0</v>
      </c>
      <c r="S56" s="134" t="str">
        <v/>
      </c>
      <c r="T56" s="102"/>
    </row>
    <row r="57" spans="1:20" x14ac:dyDescent="0.25">
      <c r="A57" s="526" t="s">
        <v>54</v>
      </c>
      <c r="B57" s="527">
        <f>MAX(T7:T18)</f>
        <v>0</v>
      </c>
      <c r="C57" s="528" t="s">
        <v>10</v>
      </c>
      <c r="D57" s="196" t="s">
        <v>19</v>
      </c>
      <c r="E57" s="178">
        <f>LOOKUP(D57,Distribution)</f>
        <v>1.7320508075688772</v>
      </c>
      <c r="F57" s="206">
        <v>200</v>
      </c>
      <c r="G57" s="19">
        <v>0</v>
      </c>
      <c r="H57" s="19">
        <v>0</v>
      </c>
      <c r="I57" s="12">
        <v>0</v>
      </c>
      <c r="J57" s="5">
        <v>0</v>
      </c>
      <c r="P57">
        <v>8</v>
      </c>
      <c r="Q57" s="135">
        <f t="shared" si="16"/>
        <v>0</v>
      </c>
      <c r="R57" s="41">
        <f t="shared" si="17"/>
        <v>0</v>
      </c>
      <c r="S57" s="134" t="str">
        <v/>
      </c>
      <c r="T57" s="102"/>
    </row>
    <row r="58" spans="1:20" x14ac:dyDescent="0.25">
      <c r="A58" s="526" t="s">
        <v>57</v>
      </c>
      <c r="B58" s="527">
        <f>MAX(Q7:Q18)</f>
        <v>0</v>
      </c>
      <c r="C58" s="528" t="s">
        <v>10</v>
      </c>
      <c r="D58" s="196" t="s">
        <v>19</v>
      </c>
      <c r="E58" s="178">
        <f t="shared" si="18"/>
        <v>1.7320508075688772</v>
      </c>
      <c r="F58" s="206">
        <v>200</v>
      </c>
      <c r="G58" s="19">
        <v>0</v>
      </c>
      <c r="H58" s="19">
        <v>0</v>
      </c>
      <c r="I58" s="12">
        <v>0</v>
      </c>
      <c r="J58" s="5">
        <v>0</v>
      </c>
      <c r="P58">
        <v>9</v>
      </c>
      <c r="Q58" s="135">
        <f t="shared" si="16"/>
        <v>0</v>
      </c>
      <c r="R58" s="41">
        <f t="shared" si="17"/>
        <v>0</v>
      </c>
      <c r="S58" s="134" t="str">
        <v/>
      </c>
      <c r="T58" s="102"/>
    </row>
    <row r="59" spans="1:20" x14ac:dyDescent="0.25">
      <c r="A59" s="526" t="s">
        <v>55</v>
      </c>
      <c r="B59" s="527">
        <f>B15</f>
        <v>2.4E-2</v>
      </c>
      <c r="C59" s="528" t="s">
        <v>10</v>
      </c>
      <c r="D59" s="196" t="s">
        <v>11</v>
      </c>
      <c r="E59" s="178">
        <f t="shared" si="18"/>
        <v>3.4641016151377544</v>
      </c>
      <c r="F59" s="206">
        <v>200</v>
      </c>
      <c r="G59" s="19">
        <v>6.9282032302755096E-3</v>
      </c>
      <c r="H59" s="19">
        <v>4.8000000000000008E-5</v>
      </c>
      <c r="I59" s="12">
        <v>1</v>
      </c>
      <c r="J59" s="5">
        <v>1.1520000000000004E-11</v>
      </c>
      <c r="P59">
        <v>10</v>
      </c>
      <c r="Q59" s="135">
        <f t="shared" si="16"/>
        <v>0</v>
      </c>
      <c r="R59" s="41">
        <f t="shared" si="17"/>
        <v>0</v>
      </c>
      <c r="S59" s="134" t="str">
        <v/>
      </c>
      <c r="T59" s="102"/>
    </row>
    <row r="60" spans="1:20" ht="30" x14ac:dyDescent="0.25">
      <c r="A60" s="526" t="str">
        <f>A23</f>
        <v>Non ASTM or ISO 376 (Tolerance,Non-Linearity,SEB)</v>
      </c>
      <c r="B60" s="527" cm="1">
        <f t="array" ref="B60">MAX(IFERROR(R84:R95,0))</f>
        <v>0</v>
      </c>
      <c r="C60" s="528" t="s">
        <v>10</v>
      </c>
      <c r="D60" s="196" t="s">
        <v>19</v>
      </c>
      <c r="E60" s="178">
        <f t="shared" si="18"/>
        <v>1.7320508075688772</v>
      </c>
      <c r="F60" s="206" t="str">
        <f>IF(B23&gt;0,200,"")</f>
        <v/>
      </c>
      <c r="G60" s="19">
        <v>0</v>
      </c>
      <c r="H60" s="19">
        <v>0</v>
      </c>
      <c r="I60" s="12">
        <v>0</v>
      </c>
      <c r="J60" s="5" t="str">
        <v xml:space="preserve"> </v>
      </c>
      <c r="P60">
        <v>11</v>
      </c>
      <c r="Q60" s="135">
        <f t="shared" si="16"/>
        <v>0</v>
      </c>
      <c r="R60" s="41">
        <f t="shared" si="17"/>
        <v>0</v>
      </c>
      <c r="S60" s="134" t="str">
        <v/>
      </c>
      <c r="T60" s="102"/>
    </row>
    <row r="61" spans="1:20" x14ac:dyDescent="0.25">
      <c r="A61" s="526" t="str">
        <f>A24</f>
        <v>Miscellaneous Error</v>
      </c>
      <c r="B61" s="527" cm="1">
        <f t="array" ref="B61">MAX(IFERROR(R50:R61,0))</f>
        <v>0</v>
      </c>
      <c r="C61" s="528" t="s">
        <v>10</v>
      </c>
      <c r="D61" s="196" t="str">
        <f>IF(B24 &gt;0,"Rectangular","none")</f>
        <v>Rectangular</v>
      </c>
      <c r="E61" s="178">
        <f t="shared" si="18"/>
        <v>1.7320508075688772</v>
      </c>
      <c r="F61" s="206">
        <f>IF(B24&gt;0,200,"")</f>
        <v>200</v>
      </c>
      <c r="G61" s="19">
        <v>0</v>
      </c>
      <c r="H61" s="19">
        <v>0</v>
      </c>
      <c r="I61" s="12">
        <v>0</v>
      </c>
      <c r="J61" s="5">
        <v>0</v>
      </c>
      <c r="P61" s="46">
        <v>12</v>
      </c>
      <c r="Q61" s="135">
        <f t="shared" si="16"/>
        <v>0</v>
      </c>
      <c r="R61" s="41">
        <f t="shared" si="17"/>
        <v>0</v>
      </c>
      <c r="S61" s="134" t="str">
        <v/>
      </c>
      <c r="T61" s="102"/>
    </row>
    <row r="62" spans="1:20" ht="15.75" thickBot="1" x14ac:dyDescent="0.3">
      <c r="A62" s="526" t="str">
        <f>A21</f>
        <v>Morehouse CMC</v>
      </c>
      <c r="B62" s="527">
        <f>MAX(S68:S79)</f>
        <v>0</v>
      </c>
      <c r="C62" s="528" t="s">
        <v>10</v>
      </c>
      <c r="D62" s="469" t="s">
        <v>15</v>
      </c>
      <c r="E62" s="178">
        <f t="shared" si="18"/>
        <v>2</v>
      </c>
      <c r="F62" s="206">
        <f>IF(B21&gt;0,200,"")</f>
        <v>200</v>
      </c>
      <c r="G62" s="19">
        <v>0</v>
      </c>
      <c r="H62" s="19">
        <v>0</v>
      </c>
      <c r="I62" s="12">
        <v>0</v>
      </c>
      <c r="J62" s="5">
        <v>0</v>
      </c>
      <c r="T62" s="102"/>
    </row>
    <row r="63" spans="1:20" ht="18" x14ac:dyDescent="0.35">
      <c r="A63" s="113"/>
      <c r="B63" s="7"/>
      <c r="D63" s="618" t="s">
        <v>52</v>
      </c>
      <c r="E63" s="619"/>
      <c r="F63" s="620"/>
      <c r="G63" s="20">
        <f>SQRT(H63)</f>
        <v>6.9282032302755096E-3</v>
      </c>
      <c r="H63" s="21">
        <f>SUM(H53:H62)</f>
        <v>4.8000000000000008E-5</v>
      </c>
      <c r="I63" s="17">
        <f>SUM(I53:I62)</f>
        <v>1</v>
      </c>
      <c r="J63" s="16">
        <f>SUM(J53:J62)</f>
        <v>1.1520000000000004E-11</v>
      </c>
      <c r="T63" s="102"/>
    </row>
    <row r="64" spans="1:20" x14ac:dyDescent="0.25">
      <c r="A64" s="113"/>
      <c r="B64" s="7"/>
      <c r="D64" s="644" t="s">
        <v>12</v>
      </c>
      <c r="E64" s="644"/>
      <c r="F64" s="644"/>
      <c r="G64" s="14">
        <f>IF(ISERROR(INT(G63^4/J63)), " ", INT(G63^4/J63))</f>
        <v>200</v>
      </c>
      <c r="H64" s="84" t="s">
        <v>106</v>
      </c>
      <c r="I64" s="6"/>
      <c r="J64" s="6"/>
      <c r="Q64" s="641" t="s">
        <v>107</v>
      </c>
      <c r="R64" s="642"/>
      <c r="S64" s="643"/>
      <c r="T64" s="102"/>
    </row>
    <row r="65" spans="1:20" x14ac:dyDescent="0.25">
      <c r="A65" s="177" t="s">
        <v>187</v>
      </c>
      <c r="B65" s="7"/>
      <c r="D65" s="614" t="s">
        <v>21</v>
      </c>
      <c r="E65" s="614"/>
      <c r="F65" s="614"/>
      <c r="G65" s="15">
        <f>IF(ISERROR(TINV(0.05,G64)), " ", TINV(0.05,G64))</f>
        <v>1.9718962236339095</v>
      </c>
      <c r="H65" s="25"/>
      <c r="I65" s="6"/>
      <c r="J65" s="6"/>
      <c r="Q65" s="638" t="s">
        <v>108</v>
      </c>
      <c r="R65" s="639"/>
      <c r="S65" s="640"/>
      <c r="T65" s="102"/>
    </row>
    <row r="66" spans="1:20" x14ac:dyDescent="0.25">
      <c r="A66" s="113"/>
      <c r="B66" s="7"/>
      <c r="D66" s="692" t="s">
        <v>109</v>
      </c>
      <c r="E66" s="692"/>
      <c r="F66" s="692"/>
      <c r="G66" s="28">
        <f>IF(ISERROR(G63*G65), " ", G63*G65)</f>
        <v>1.366169778634853E-2</v>
      </c>
      <c r="H66" s="30" t="e">
        <f>G66/(MAX(B69:B74))</f>
        <v>#DIV/0!</v>
      </c>
      <c r="T66" s="102"/>
    </row>
    <row r="67" spans="1:20" x14ac:dyDescent="0.25">
      <c r="A67" s="677" t="s">
        <v>150</v>
      </c>
      <c r="B67" s="678"/>
      <c r="C67" s="678"/>
      <c r="D67" s="678"/>
      <c r="E67" s="678"/>
      <c r="F67" s="678"/>
      <c r="G67" s="678"/>
      <c r="H67" s="678"/>
      <c r="I67" s="678"/>
      <c r="J67" s="678"/>
      <c r="K67" s="678"/>
      <c r="L67" s="679"/>
      <c r="Q67" s="22" t="s">
        <v>42</v>
      </c>
      <c r="R67" s="57" t="s">
        <v>59</v>
      </c>
      <c r="S67" s="57">
        <f>C13</f>
        <v>0</v>
      </c>
      <c r="T67" s="102"/>
    </row>
    <row r="68" spans="1:20" x14ac:dyDescent="0.25">
      <c r="A68" s="114"/>
      <c r="B68" s="22" t="s">
        <v>42</v>
      </c>
      <c r="C68" s="22" t="s">
        <v>38</v>
      </c>
      <c r="D68" s="22" t="s">
        <v>39</v>
      </c>
      <c r="E68" s="22" t="s">
        <v>40</v>
      </c>
      <c r="F68" s="22" t="s">
        <v>93</v>
      </c>
      <c r="G68" s="22" t="s">
        <v>534</v>
      </c>
      <c r="H68" s="22" t="s">
        <v>41</v>
      </c>
      <c r="I68" s="22" t="s">
        <v>43</v>
      </c>
      <c r="J68" s="22" t="s">
        <v>33</v>
      </c>
      <c r="K68" s="22" t="s">
        <v>36</v>
      </c>
      <c r="L68" s="22" t="s">
        <v>37</v>
      </c>
      <c r="P68" s="116"/>
      <c r="Q68" s="33" t="str">
        <f t="shared" ref="Q68:Q79" si="19">IF(B69&gt;0,B69,"")</f>
        <v/>
      </c>
      <c r="R68" s="41" t="str" cm="1">
        <f t="array" ref="R68:R79">IFERROR(IF(B69:B80&gt;0,R30:R41,""),"")</f>
        <v/>
      </c>
      <c r="S68" s="41" t="str" cm="1">
        <f t="array" ref="S68:S79">IFERROR( B69:B80*R68:R79,"")</f>
        <v/>
      </c>
      <c r="T68" s="102"/>
    </row>
    <row r="69" spans="1:20" x14ac:dyDescent="0.25">
      <c r="A69" s="115">
        <v>1</v>
      </c>
      <c r="B69" s="531">
        <f>B31</f>
        <v>0</v>
      </c>
      <c r="C69" s="487" t="str">
        <f t="shared" ref="C69:C80" si="20">IF(B31&gt;0,IF(C31=0,"",C31*$I31),"")</f>
        <v/>
      </c>
      <c r="D69" s="487" t="str">
        <f>IF(D31=0,"",D31*$I31)</f>
        <v/>
      </c>
      <c r="E69" s="487" t="str">
        <f>IF(E31=0,"",E31*$I31)</f>
        <v/>
      </c>
      <c r="F69" s="487" t="str">
        <f>IF(F31=0,"",F31*$I31)</f>
        <v/>
      </c>
      <c r="G69" s="487" t="str">
        <f>IF(G31=0,"",G31*$I31)</f>
        <v/>
      </c>
      <c r="H69" s="23" t="str">
        <f>IF(ISERROR(AVERAGE(C69:G69)), " ", AVERAGE(C69:F69))</f>
        <v xml:space="preserve"> </v>
      </c>
      <c r="I69" s="23" t="str">
        <f>IF(ISERROR(STDEV(C69:G69)), " ", STDEV(C69:F69))</f>
        <v xml:space="preserve"> </v>
      </c>
      <c r="J69" s="532" t="str">
        <f t="shared" ref="J69:J80" si="21">IF(ISERROR(B69-H69), " ", (B69-H69))</f>
        <v xml:space="preserve"> </v>
      </c>
      <c r="K69" s="23" t="str">
        <f t="shared" ref="K69:K80" si="22">IF(B31&gt;0.001,IF($B69&gt;0.0001,($C$82*B69)+$C$83," "),"")</f>
        <v/>
      </c>
      <c r="L69" s="23" t="str">
        <f t="shared" ref="L69:L80" si="23">IF(ISERROR(B69-K69), " ", (B69-K69))</f>
        <v xml:space="preserve"> </v>
      </c>
      <c r="P69" s="116"/>
      <c r="Q69" s="33" t="str">
        <f t="shared" si="19"/>
        <v/>
      </c>
      <c r="R69" s="41" t="str">
        <v/>
      </c>
      <c r="S69" s="41" t="str">
        <v/>
      </c>
      <c r="T69" s="102"/>
    </row>
    <row r="70" spans="1:20" x14ac:dyDescent="0.25">
      <c r="A70" s="115">
        <v>2</v>
      </c>
      <c r="B70" s="531">
        <f t="shared" ref="B70:B80" si="24">B32</f>
        <v>0</v>
      </c>
      <c r="C70" s="487" t="str">
        <f t="shared" si="20"/>
        <v/>
      </c>
      <c r="D70" s="487" t="str">
        <f t="shared" ref="D70:E80" si="25">IF(D32=0,"",D32*$I32)</f>
        <v/>
      </c>
      <c r="E70" s="487" t="str">
        <f t="shared" si="25"/>
        <v/>
      </c>
      <c r="F70" s="487" t="str">
        <f t="shared" ref="F70:G80" si="26">IF(F32=0,"",F32*$I32)</f>
        <v/>
      </c>
      <c r="G70" s="487" t="str">
        <f t="shared" si="26"/>
        <v/>
      </c>
      <c r="H70" s="23" t="str">
        <f t="shared" ref="H70:H80" si="27">IF(ISERROR(AVERAGE(C70:G70)), " ", AVERAGE(C70:F70))</f>
        <v xml:space="preserve"> </v>
      </c>
      <c r="I70" s="23" t="str">
        <f t="shared" ref="I70:I80" si="28">IF(ISERROR(STDEV(C70:G70)), " ", STDEV(C70:F70))</f>
        <v xml:space="preserve"> </v>
      </c>
      <c r="J70" s="532" t="str">
        <f t="shared" si="21"/>
        <v xml:space="preserve"> </v>
      </c>
      <c r="K70" s="23" t="str">
        <f t="shared" si="22"/>
        <v/>
      </c>
      <c r="L70" s="23" t="str">
        <f t="shared" si="23"/>
        <v xml:space="preserve"> </v>
      </c>
      <c r="P70" s="116"/>
      <c r="Q70" s="33" t="str">
        <f t="shared" si="19"/>
        <v/>
      </c>
      <c r="R70" s="41" t="str">
        <v/>
      </c>
      <c r="S70" s="41" t="str">
        <v/>
      </c>
      <c r="T70" s="102"/>
    </row>
    <row r="71" spans="1:20" x14ac:dyDescent="0.25">
      <c r="A71" s="115">
        <v>3</v>
      </c>
      <c r="B71" s="531">
        <f t="shared" si="24"/>
        <v>0</v>
      </c>
      <c r="C71" s="487" t="str">
        <f t="shared" si="20"/>
        <v/>
      </c>
      <c r="D71" s="487" t="str">
        <f t="shared" si="25"/>
        <v/>
      </c>
      <c r="E71" s="487" t="str">
        <f t="shared" si="25"/>
        <v/>
      </c>
      <c r="F71" s="487" t="str">
        <f t="shared" si="26"/>
        <v/>
      </c>
      <c r="G71" s="487" t="str">
        <f t="shared" si="26"/>
        <v/>
      </c>
      <c r="H71" s="23" t="str">
        <f t="shared" si="27"/>
        <v xml:space="preserve"> </v>
      </c>
      <c r="I71" s="23" t="str">
        <f t="shared" si="28"/>
        <v xml:space="preserve"> </v>
      </c>
      <c r="J71" s="532" t="str">
        <f t="shared" si="21"/>
        <v xml:space="preserve"> </v>
      </c>
      <c r="K71" s="23" t="str">
        <f t="shared" si="22"/>
        <v/>
      </c>
      <c r="L71" s="23" t="str">
        <f t="shared" si="23"/>
        <v xml:space="preserve"> </v>
      </c>
      <c r="P71" s="116"/>
      <c r="Q71" s="33" t="str">
        <f t="shared" si="19"/>
        <v/>
      </c>
      <c r="R71" s="41" t="str">
        <v/>
      </c>
      <c r="S71" s="41" t="str">
        <v/>
      </c>
      <c r="T71" s="102"/>
    </row>
    <row r="72" spans="1:20" x14ac:dyDescent="0.25">
      <c r="A72" s="115">
        <v>4</v>
      </c>
      <c r="B72" s="531">
        <f t="shared" si="24"/>
        <v>0</v>
      </c>
      <c r="C72" s="487" t="str">
        <f t="shared" si="20"/>
        <v/>
      </c>
      <c r="D72" s="487" t="str">
        <f t="shared" si="25"/>
        <v/>
      </c>
      <c r="E72" s="487" t="str">
        <f t="shared" si="25"/>
        <v/>
      </c>
      <c r="F72" s="487" t="str">
        <f t="shared" si="26"/>
        <v/>
      </c>
      <c r="G72" s="487" t="str">
        <f t="shared" si="26"/>
        <v/>
      </c>
      <c r="H72" s="23" t="str">
        <f t="shared" si="27"/>
        <v xml:space="preserve"> </v>
      </c>
      <c r="I72" s="23" t="str">
        <f t="shared" si="28"/>
        <v xml:space="preserve"> </v>
      </c>
      <c r="J72" s="532" t="str">
        <f t="shared" si="21"/>
        <v xml:space="preserve"> </v>
      </c>
      <c r="K72" s="23" t="str">
        <f t="shared" si="22"/>
        <v/>
      </c>
      <c r="L72" s="23" t="str">
        <f t="shared" si="23"/>
        <v xml:space="preserve"> </v>
      </c>
      <c r="P72" s="116"/>
      <c r="Q72" s="33" t="str">
        <f t="shared" si="19"/>
        <v/>
      </c>
      <c r="R72" s="41" t="str">
        <v/>
      </c>
      <c r="S72" s="41" t="str">
        <v/>
      </c>
      <c r="T72" s="102"/>
    </row>
    <row r="73" spans="1:20" x14ac:dyDescent="0.25">
      <c r="A73" s="115">
        <v>5</v>
      </c>
      <c r="B73" s="531">
        <f t="shared" si="24"/>
        <v>0</v>
      </c>
      <c r="C73" s="487" t="str">
        <f t="shared" si="20"/>
        <v/>
      </c>
      <c r="D73" s="487" t="str">
        <f t="shared" si="25"/>
        <v/>
      </c>
      <c r="E73" s="487" t="str">
        <f t="shared" si="25"/>
        <v/>
      </c>
      <c r="F73" s="487" t="str">
        <f t="shared" si="26"/>
        <v/>
      </c>
      <c r="G73" s="487" t="str">
        <f t="shared" si="26"/>
        <v/>
      </c>
      <c r="H73" s="23" t="str">
        <f t="shared" si="27"/>
        <v xml:space="preserve"> </v>
      </c>
      <c r="I73" s="23" t="str">
        <f t="shared" si="28"/>
        <v xml:space="preserve"> </v>
      </c>
      <c r="J73" s="532" t="str">
        <f t="shared" si="21"/>
        <v xml:space="preserve"> </v>
      </c>
      <c r="K73" s="23" t="str">
        <f t="shared" si="22"/>
        <v/>
      </c>
      <c r="L73" s="23" t="str">
        <f t="shared" si="23"/>
        <v xml:space="preserve"> </v>
      </c>
      <c r="P73" s="116"/>
      <c r="Q73" s="33" t="str">
        <f t="shared" si="19"/>
        <v/>
      </c>
      <c r="R73" s="41" t="str">
        <v/>
      </c>
      <c r="S73" s="41" t="str">
        <v/>
      </c>
      <c r="T73" s="102"/>
    </row>
    <row r="74" spans="1:20" x14ac:dyDescent="0.25">
      <c r="A74" s="115">
        <v>6</v>
      </c>
      <c r="B74" s="531">
        <f t="shared" si="24"/>
        <v>0</v>
      </c>
      <c r="C74" s="487" t="str">
        <f t="shared" si="20"/>
        <v/>
      </c>
      <c r="D74" s="487" t="str">
        <f t="shared" si="25"/>
        <v/>
      </c>
      <c r="E74" s="487" t="str">
        <f t="shared" si="25"/>
        <v/>
      </c>
      <c r="F74" s="487" t="str">
        <f t="shared" si="26"/>
        <v/>
      </c>
      <c r="G74" s="487" t="str">
        <f t="shared" si="26"/>
        <v/>
      </c>
      <c r="H74" s="23" t="str">
        <f t="shared" si="27"/>
        <v xml:space="preserve"> </v>
      </c>
      <c r="I74" s="23" t="str">
        <f t="shared" si="28"/>
        <v xml:space="preserve"> </v>
      </c>
      <c r="J74" s="532" t="str">
        <f t="shared" si="21"/>
        <v xml:space="preserve"> </v>
      </c>
      <c r="K74" s="23" t="str">
        <f t="shared" si="22"/>
        <v/>
      </c>
      <c r="L74" s="23" t="str">
        <f t="shared" si="23"/>
        <v xml:space="preserve"> </v>
      </c>
      <c r="P74" s="116"/>
      <c r="Q74" s="33" t="str">
        <f t="shared" si="19"/>
        <v/>
      </c>
      <c r="R74" s="41" t="str">
        <v/>
      </c>
      <c r="S74" s="41" t="str">
        <v/>
      </c>
      <c r="T74" s="102"/>
    </row>
    <row r="75" spans="1:20" x14ac:dyDescent="0.25">
      <c r="A75" s="115">
        <v>7</v>
      </c>
      <c r="B75" s="531">
        <f t="shared" si="24"/>
        <v>0</v>
      </c>
      <c r="C75" s="487" t="str">
        <f t="shared" si="20"/>
        <v/>
      </c>
      <c r="D75" s="487" t="str">
        <f t="shared" si="25"/>
        <v/>
      </c>
      <c r="E75" s="487" t="str">
        <f t="shared" si="25"/>
        <v/>
      </c>
      <c r="F75" s="487" t="str">
        <f t="shared" si="26"/>
        <v/>
      </c>
      <c r="G75" s="487" t="str">
        <f t="shared" si="26"/>
        <v/>
      </c>
      <c r="H75" s="23" t="str">
        <f t="shared" si="27"/>
        <v xml:space="preserve"> </v>
      </c>
      <c r="I75" s="23" t="str">
        <f t="shared" si="28"/>
        <v xml:space="preserve"> </v>
      </c>
      <c r="J75" s="532" t="str">
        <f t="shared" si="21"/>
        <v xml:space="preserve"> </v>
      </c>
      <c r="K75" s="23" t="str">
        <f t="shared" si="22"/>
        <v/>
      </c>
      <c r="L75" s="23" t="str">
        <f t="shared" si="23"/>
        <v xml:space="preserve"> </v>
      </c>
      <c r="P75" s="116"/>
      <c r="Q75" s="33" t="str">
        <f t="shared" si="19"/>
        <v/>
      </c>
      <c r="R75" s="41" t="str">
        <v/>
      </c>
      <c r="S75" s="41" t="str">
        <v/>
      </c>
      <c r="T75" s="102"/>
    </row>
    <row r="76" spans="1:20" x14ac:dyDescent="0.25">
      <c r="A76" s="115">
        <v>8</v>
      </c>
      <c r="B76" s="531">
        <f t="shared" si="24"/>
        <v>0</v>
      </c>
      <c r="C76" s="487" t="str">
        <f t="shared" si="20"/>
        <v/>
      </c>
      <c r="D76" s="487" t="str">
        <f t="shared" si="25"/>
        <v/>
      </c>
      <c r="E76" s="487" t="str">
        <f t="shared" si="25"/>
        <v/>
      </c>
      <c r="F76" s="487" t="str">
        <f t="shared" si="26"/>
        <v/>
      </c>
      <c r="G76" s="487" t="str">
        <f t="shared" si="26"/>
        <v/>
      </c>
      <c r="H76" s="23" t="str">
        <f t="shared" si="27"/>
        <v xml:space="preserve"> </v>
      </c>
      <c r="I76" s="23" t="str">
        <f t="shared" si="28"/>
        <v xml:space="preserve"> </v>
      </c>
      <c r="J76" s="532" t="str">
        <f t="shared" si="21"/>
        <v xml:space="preserve"> </v>
      </c>
      <c r="K76" s="23" t="str">
        <f t="shared" si="22"/>
        <v/>
      </c>
      <c r="L76" s="23" t="str">
        <f t="shared" si="23"/>
        <v xml:space="preserve"> </v>
      </c>
      <c r="P76" s="116"/>
      <c r="Q76" s="33" t="str">
        <f t="shared" si="19"/>
        <v/>
      </c>
      <c r="R76" s="41" t="str">
        <v/>
      </c>
      <c r="S76" s="41" t="str">
        <v/>
      </c>
      <c r="T76" s="102"/>
    </row>
    <row r="77" spans="1:20" x14ac:dyDescent="0.25">
      <c r="A77" s="115">
        <v>9</v>
      </c>
      <c r="B77" s="531">
        <f t="shared" si="24"/>
        <v>0</v>
      </c>
      <c r="C77" s="487" t="str">
        <f t="shared" si="20"/>
        <v/>
      </c>
      <c r="D77" s="487" t="str">
        <f t="shared" si="25"/>
        <v/>
      </c>
      <c r="E77" s="487" t="str">
        <f t="shared" si="25"/>
        <v/>
      </c>
      <c r="F77" s="487" t="str">
        <f t="shared" si="26"/>
        <v/>
      </c>
      <c r="G77" s="487" t="str">
        <f t="shared" si="26"/>
        <v/>
      </c>
      <c r="H77" s="23" t="str">
        <f t="shared" si="27"/>
        <v xml:space="preserve"> </v>
      </c>
      <c r="I77" s="23" t="str">
        <f t="shared" si="28"/>
        <v xml:space="preserve"> </v>
      </c>
      <c r="J77" s="532" t="str">
        <f t="shared" si="21"/>
        <v xml:space="preserve"> </v>
      </c>
      <c r="K77" s="23" t="str">
        <f t="shared" si="22"/>
        <v/>
      </c>
      <c r="L77" s="23" t="str">
        <f t="shared" si="23"/>
        <v xml:space="preserve"> </v>
      </c>
      <c r="P77" s="116"/>
      <c r="Q77" s="33" t="str">
        <f t="shared" si="19"/>
        <v/>
      </c>
      <c r="R77" s="41" t="str">
        <v/>
      </c>
      <c r="S77" s="41" t="str">
        <v/>
      </c>
      <c r="T77" s="102"/>
    </row>
    <row r="78" spans="1:20" x14ac:dyDescent="0.25">
      <c r="A78" s="115">
        <v>10</v>
      </c>
      <c r="B78" s="531">
        <f t="shared" si="24"/>
        <v>0</v>
      </c>
      <c r="C78" s="487" t="str">
        <f t="shared" si="20"/>
        <v/>
      </c>
      <c r="D78" s="487" t="str">
        <f t="shared" si="25"/>
        <v/>
      </c>
      <c r="E78" s="487" t="str">
        <f t="shared" si="25"/>
        <v/>
      </c>
      <c r="F78" s="487" t="str">
        <f t="shared" si="26"/>
        <v/>
      </c>
      <c r="G78" s="487" t="str">
        <f t="shared" si="26"/>
        <v/>
      </c>
      <c r="H78" s="23" t="str">
        <f t="shared" si="27"/>
        <v xml:space="preserve"> </v>
      </c>
      <c r="I78" s="23" t="str">
        <f t="shared" si="28"/>
        <v xml:space="preserve"> </v>
      </c>
      <c r="J78" s="532" t="str">
        <f t="shared" si="21"/>
        <v xml:space="preserve"> </v>
      </c>
      <c r="K78" s="23" t="str">
        <f t="shared" si="22"/>
        <v/>
      </c>
      <c r="L78" s="23" t="str">
        <f t="shared" si="23"/>
        <v xml:space="preserve"> </v>
      </c>
      <c r="P78" s="116"/>
      <c r="Q78" s="33" t="str">
        <f t="shared" si="19"/>
        <v/>
      </c>
      <c r="R78" s="41" t="str">
        <v/>
      </c>
      <c r="S78" s="41" t="str">
        <v/>
      </c>
      <c r="T78" s="102"/>
    </row>
    <row r="79" spans="1:20" x14ac:dyDescent="0.25">
      <c r="A79" s="115">
        <v>11</v>
      </c>
      <c r="B79" s="531">
        <f t="shared" si="24"/>
        <v>0</v>
      </c>
      <c r="C79" s="487" t="str">
        <f t="shared" si="20"/>
        <v/>
      </c>
      <c r="D79" s="487" t="str">
        <f t="shared" si="25"/>
        <v/>
      </c>
      <c r="E79" s="487" t="str">
        <f t="shared" si="25"/>
        <v/>
      </c>
      <c r="F79" s="487" t="str">
        <f t="shared" si="26"/>
        <v/>
      </c>
      <c r="G79" s="487" t="str">
        <f t="shared" si="26"/>
        <v/>
      </c>
      <c r="H79" s="23" t="str">
        <f t="shared" si="27"/>
        <v xml:space="preserve"> </v>
      </c>
      <c r="I79" s="23" t="str">
        <f t="shared" si="28"/>
        <v xml:space="preserve"> </v>
      </c>
      <c r="J79" s="532" t="str">
        <f t="shared" si="21"/>
        <v xml:space="preserve"> </v>
      </c>
      <c r="K79" s="23" t="str">
        <f t="shared" si="22"/>
        <v/>
      </c>
      <c r="L79" s="23" t="str">
        <f t="shared" si="23"/>
        <v xml:space="preserve"> </v>
      </c>
      <c r="P79" s="116"/>
      <c r="Q79" s="33" t="str">
        <f t="shared" si="19"/>
        <v/>
      </c>
      <c r="R79" s="41" t="str">
        <v/>
      </c>
      <c r="S79" s="41" t="str">
        <v/>
      </c>
      <c r="T79" s="102"/>
    </row>
    <row r="80" spans="1:20" x14ac:dyDescent="0.25">
      <c r="A80" s="115">
        <v>12</v>
      </c>
      <c r="B80" s="531">
        <f t="shared" si="24"/>
        <v>0</v>
      </c>
      <c r="C80" s="487" t="str">
        <f t="shared" si="20"/>
        <v/>
      </c>
      <c r="D80" s="487" t="str">
        <f t="shared" si="25"/>
        <v/>
      </c>
      <c r="E80" s="487" t="str">
        <f t="shared" si="25"/>
        <v/>
      </c>
      <c r="F80" s="487" t="str">
        <f t="shared" si="26"/>
        <v/>
      </c>
      <c r="G80" s="487" t="str">
        <f t="shared" si="26"/>
        <v/>
      </c>
      <c r="H80" s="23" t="str">
        <f t="shared" si="27"/>
        <v xml:space="preserve"> </v>
      </c>
      <c r="I80" s="23" t="str">
        <f t="shared" si="28"/>
        <v xml:space="preserve"> </v>
      </c>
      <c r="J80" s="532" t="str">
        <f t="shared" si="21"/>
        <v xml:space="preserve"> </v>
      </c>
      <c r="K80" s="23" t="str">
        <f t="shared" si="22"/>
        <v/>
      </c>
      <c r="L80" s="23" t="str">
        <f t="shared" si="23"/>
        <v xml:space="preserve"> </v>
      </c>
      <c r="T80" s="102"/>
    </row>
    <row r="81" spans="1:20" x14ac:dyDescent="0.25">
      <c r="A81" s="115" t="s">
        <v>44</v>
      </c>
      <c r="B81" s="4"/>
      <c r="C81" s="11" t="str">
        <f>IF(ISERROR(STDEV(J69:J80)), " ", STDEV(J69:J80))</f>
        <v xml:space="preserve"> </v>
      </c>
      <c r="D81" s="677" t="s">
        <v>45</v>
      </c>
      <c r="E81" s="678"/>
      <c r="F81" s="678"/>
      <c r="G81" s="678"/>
      <c r="H81" s="679"/>
      <c r="I81" s="24" t="e">
        <f>SQRT((SUMSQ(I69:I80)/COUNT(I69:I80)))</f>
        <v>#DIV/0!</v>
      </c>
      <c r="J81" s="4"/>
      <c r="K81" s="11" t="str">
        <f>IF(ISERROR(STDEV(K69:K80)), " ", STDEV(K69:K80))</f>
        <v xml:space="preserve"> </v>
      </c>
      <c r="L81" s="11" t="str">
        <f>IF(ISERROR(STDEV(L69:L80)), " ", STDEV(L69:L80))</f>
        <v xml:space="preserve"> </v>
      </c>
      <c r="T81" s="102"/>
    </row>
    <row r="82" spans="1:20" x14ac:dyDescent="0.25">
      <c r="A82" s="115" t="s">
        <v>34</v>
      </c>
      <c r="B82" s="4"/>
      <c r="C82" s="11" t="e">
        <f>SLOPE(B69:B80,H69:H80)</f>
        <v>#DIV/0!</v>
      </c>
      <c r="H82" s="4"/>
      <c r="I82" s="4"/>
      <c r="J82" s="4"/>
      <c r="Q82" s="680" t="str">
        <f>A23</f>
        <v>Non ASTM or ISO 376 (Tolerance,Non-Linearity,SEB)</v>
      </c>
      <c r="R82" s="681"/>
      <c r="S82" s="682"/>
      <c r="T82" s="102"/>
    </row>
    <row r="83" spans="1:20" x14ac:dyDescent="0.25">
      <c r="A83" s="115" t="s">
        <v>35</v>
      </c>
      <c r="B83" s="4"/>
      <c r="C83" s="11" t="e">
        <f>INTERCEPT(H69:H80,B69:B80)</f>
        <v>#DIV/0!</v>
      </c>
      <c r="H83" s="4"/>
      <c r="I83" s="4"/>
      <c r="J83" s="4"/>
      <c r="Q83" s="128" t="s">
        <v>140</v>
      </c>
      <c r="R83" s="128" t="str">
        <f>C11</f>
        <v>lbf</v>
      </c>
      <c r="S83" s="133" t="s">
        <v>536</v>
      </c>
      <c r="T83" s="102"/>
    </row>
    <row r="84" spans="1:20" x14ac:dyDescent="0.25">
      <c r="A84" s="117" t="s">
        <v>533</v>
      </c>
      <c r="B84" s="85"/>
      <c r="C84" s="11" t="e">
        <f>STEYX(H69:H80,B69:B80)</f>
        <v>#DIV/0!</v>
      </c>
      <c r="P84">
        <v>1</v>
      </c>
      <c r="Q84" s="135" t="str">
        <f t="shared" ref="Q84:Q95" si="29">IF($B31&gt;0,B31,"")</f>
        <v/>
      </c>
      <c r="R84" s="163" t="str" cm="1">
        <f t="array" ref="R84:R95">IFERROR(Q84:Q95*S84:S95,"")</f>
        <v/>
      </c>
      <c r="S84" s="134">
        <f>IFERROR($B$23/100,"")</f>
        <v>0</v>
      </c>
      <c r="T84" s="102"/>
    </row>
    <row r="85" spans="1:20" x14ac:dyDescent="0.25">
      <c r="A85" s="117"/>
      <c r="B85" s="85"/>
      <c r="C85" s="11" t="str">
        <f>IF(ISERROR(STDEV(B82:H82)), " ", STDEV(B82:H82))</f>
        <v xml:space="preserve"> </v>
      </c>
      <c r="P85">
        <v>2</v>
      </c>
      <c r="Q85" s="135" t="str">
        <f t="shared" si="29"/>
        <v/>
      </c>
      <c r="R85" s="163" t="str">
        <v/>
      </c>
      <c r="S85" s="134">
        <f t="shared" ref="S85:S95" si="30">IFERROR($B$23/100,"")</f>
        <v>0</v>
      </c>
      <c r="T85" s="102"/>
    </row>
    <row r="86" spans="1:20" x14ac:dyDescent="0.25">
      <c r="A86" s="105"/>
      <c r="P86">
        <v>3</v>
      </c>
      <c r="Q86" s="135" t="str">
        <f t="shared" si="29"/>
        <v/>
      </c>
      <c r="R86" s="163" t="str">
        <v/>
      </c>
      <c r="S86" s="134">
        <f t="shared" si="30"/>
        <v>0</v>
      </c>
      <c r="T86" s="102"/>
    </row>
    <row r="87" spans="1:20" x14ac:dyDescent="0.25">
      <c r="A87" s="105"/>
      <c r="P87">
        <v>4</v>
      </c>
      <c r="Q87" s="135" t="str">
        <f t="shared" si="29"/>
        <v/>
      </c>
      <c r="R87" s="163" t="str">
        <v/>
      </c>
      <c r="S87" s="134">
        <f t="shared" si="30"/>
        <v>0</v>
      </c>
      <c r="T87" s="102"/>
    </row>
    <row r="88" spans="1:20" x14ac:dyDescent="0.25">
      <c r="A88" s="105"/>
      <c r="P88">
        <v>5</v>
      </c>
      <c r="Q88" s="135" t="str">
        <f t="shared" si="29"/>
        <v/>
      </c>
      <c r="R88" s="163" t="str">
        <v/>
      </c>
      <c r="S88" s="134">
        <f t="shared" si="30"/>
        <v>0</v>
      </c>
      <c r="T88" s="102"/>
    </row>
    <row r="89" spans="1:20" x14ac:dyDescent="0.25">
      <c r="A89" s="113"/>
      <c r="B89" s="7"/>
      <c r="P89">
        <v>6</v>
      </c>
      <c r="Q89" s="135" t="str">
        <f t="shared" si="29"/>
        <v/>
      </c>
      <c r="R89" s="163" t="str">
        <v/>
      </c>
      <c r="S89" s="134">
        <f t="shared" si="30"/>
        <v>0</v>
      </c>
      <c r="T89" s="102"/>
    </row>
    <row r="90" spans="1:20" x14ac:dyDescent="0.25">
      <c r="A90" s="113"/>
      <c r="B90" s="7"/>
      <c r="P90">
        <v>7</v>
      </c>
      <c r="Q90" s="135" t="str">
        <f t="shared" si="29"/>
        <v/>
      </c>
      <c r="R90" s="163" t="str">
        <v/>
      </c>
      <c r="S90" s="134">
        <f t="shared" si="30"/>
        <v>0</v>
      </c>
      <c r="T90" s="102"/>
    </row>
    <row r="91" spans="1:20" x14ac:dyDescent="0.25">
      <c r="A91" s="113"/>
      <c r="B91" s="7"/>
      <c r="P91">
        <v>8</v>
      </c>
      <c r="Q91" s="135" t="str">
        <f t="shared" si="29"/>
        <v/>
      </c>
      <c r="R91" s="163" t="str">
        <v/>
      </c>
      <c r="S91" s="134">
        <f t="shared" si="30"/>
        <v>0</v>
      </c>
      <c r="T91" s="102"/>
    </row>
    <row r="92" spans="1:20" x14ac:dyDescent="0.25">
      <c r="A92" s="113"/>
      <c r="B92" s="7"/>
      <c r="P92">
        <v>9</v>
      </c>
      <c r="Q92" s="135" t="str">
        <f t="shared" si="29"/>
        <v/>
      </c>
      <c r="R92" s="163" t="str">
        <v/>
      </c>
      <c r="S92" s="134">
        <f t="shared" si="30"/>
        <v>0</v>
      </c>
      <c r="T92" s="102"/>
    </row>
    <row r="93" spans="1:20" x14ac:dyDescent="0.25">
      <c r="A93" s="105"/>
      <c r="P93">
        <v>10</v>
      </c>
      <c r="Q93" s="135" t="str">
        <f t="shared" si="29"/>
        <v/>
      </c>
      <c r="R93" s="163" t="str">
        <v/>
      </c>
      <c r="S93" s="134">
        <f t="shared" si="30"/>
        <v>0</v>
      </c>
      <c r="T93" s="102"/>
    </row>
    <row r="94" spans="1:20" x14ac:dyDescent="0.25">
      <c r="A94" s="105"/>
      <c r="P94">
        <v>11</v>
      </c>
      <c r="Q94" s="135" t="str">
        <f t="shared" si="29"/>
        <v/>
      </c>
      <c r="R94" s="163" t="str">
        <v/>
      </c>
      <c r="S94" s="134">
        <f t="shared" si="30"/>
        <v>0</v>
      </c>
      <c r="T94" s="102"/>
    </row>
    <row r="95" spans="1:20" x14ac:dyDescent="0.25">
      <c r="A95" s="105"/>
      <c r="P95" s="46">
        <v>12</v>
      </c>
      <c r="Q95" s="135" t="str">
        <f t="shared" si="29"/>
        <v/>
      </c>
      <c r="R95" s="163" t="str">
        <v/>
      </c>
      <c r="S95" s="134">
        <f t="shared" si="30"/>
        <v>0</v>
      </c>
      <c r="T95" s="102"/>
    </row>
    <row r="96" spans="1:20" x14ac:dyDescent="0.25">
      <c r="A96" s="105"/>
      <c r="T96" s="102"/>
    </row>
    <row r="97" spans="1:20" x14ac:dyDescent="0.25">
      <c r="A97" s="105"/>
      <c r="T97" s="102"/>
    </row>
    <row r="98" spans="1:20" x14ac:dyDescent="0.25">
      <c r="A98" s="105"/>
      <c r="T98" s="102"/>
    </row>
    <row r="99" spans="1:20" x14ac:dyDescent="0.25">
      <c r="A99" s="105"/>
      <c r="C99" s="118"/>
      <c r="T99" s="102"/>
    </row>
    <row r="100" spans="1:20" x14ac:dyDescent="0.25">
      <c r="A100" s="105"/>
      <c r="T100" s="102"/>
    </row>
  </sheetData>
  <sheetProtection sheet="1" objects="1" scenarios="1"/>
  <mergeCells count="44">
    <mergeCell ref="D81:H81"/>
    <mergeCell ref="A67:L67"/>
    <mergeCell ref="Q82:S82"/>
    <mergeCell ref="Y4:AB4"/>
    <mergeCell ref="Y5:AB5"/>
    <mergeCell ref="O4:R4"/>
    <mergeCell ref="B4:C4"/>
    <mergeCell ref="C50:C51"/>
    <mergeCell ref="D66:F66"/>
    <mergeCell ref="B8:C8"/>
    <mergeCell ref="B9:C9"/>
    <mergeCell ref="B5:C5"/>
    <mergeCell ref="B6:C6"/>
    <mergeCell ref="B7:C7"/>
    <mergeCell ref="E5:G5"/>
    <mergeCell ref="D14:J14"/>
    <mergeCell ref="O24:R24"/>
    <mergeCell ref="K13:M13"/>
    <mergeCell ref="B29:K29"/>
    <mergeCell ref="G43:I43"/>
    <mergeCell ref="B10:C10"/>
    <mergeCell ref="A1:T1"/>
    <mergeCell ref="A2:J2"/>
    <mergeCell ref="A13:C13"/>
    <mergeCell ref="Q65:S65"/>
    <mergeCell ref="Q64:S64"/>
    <mergeCell ref="D64:F64"/>
    <mergeCell ref="A3:J3"/>
    <mergeCell ref="E8:G9"/>
    <mergeCell ref="F6:G6"/>
    <mergeCell ref="F7:G7"/>
    <mergeCell ref="F49:J49"/>
    <mergeCell ref="Q48:R48"/>
    <mergeCell ref="D23:H23"/>
    <mergeCell ref="D24:H24"/>
    <mergeCell ref="O20:R20"/>
    <mergeCell ref="O23:R23"/>
    <mergeCell ref="D65:F65"/>
    <mergeCell ref="O28:S28"/>
    <mergeCell ref="D63:F63"/>
    <mergeCell ref="A47:J47"/>
    <mergeCell ref="B48:J48"/>
    <mergeCell ref="A46:J46"/>
    <mergeCell ref="D50:J51"/>
  </mergeCells>
  <dataValidations count="4">
    <dataValidation type="list" allowBlank="1" showInputMessage="1" showErrorMessage="1" sqref="A14" xr:uid="{1185B700-C798-4671-B33A-D88A80DA7F5B}">
      <formula1>$AI$10:$AI$13</formula1>
    </dataValidation>
    <dataValidation type="list" allowBlank="1" showInputMessage="1" showErrorMessage="1" sqref="T30:T41 C24" xr:uid="{C4B78A7F-D3AA-4942-98EA-5F53CE1B8CB7}">
      <formula1>$Z$22:$Z$23</formula1>
    </dataValidation>
    <dataValidation type="list" allowBlank="1" showInputMessage="1" showErrorMessage="1" errorTitle="Distribution" error="Cannot select any other value" promptTitle="Distribution" prompt="Select Appropriate Distribution" sqref="D53:D62" xr:uid="{00000000-0002-0000-0300-000000000000}">
      <formula1>$K$47:$K$56</formula1>
    </dataValidation>
    <dataValidation type="list" allowBlank="1" showInputMessage="1" showErrorMessage="1" sqref="B26" xr:uid="{00000000-0002-0000-0300-000001000000}">
      <formula1>$Y$22:$Y$24</formula1>
    </dataValidation>
  </dataValidations>
  <pageMargins left="0.7" right="0.7" top="0.75" bottom="0.75" header="0.3" footer="0.3"/>
  <pageSetup scale="54" fitToHeight="0" orientation="landscape" r:id="rId1"/>
  <ignoredErrors>
    <ignoredError sqref="A55 A60:A62 F60:F62 B54:B62 B48:J51 AC10:AC18 B69:G80 K69:L80 AC7:AC9 D53:D61" unlocked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V72"/>
  <sheetViews>
    <sheetView zoomScale="105" zoomScaleNormal="105" workbookViewId="0">
      <selection activeCell="J51" sqref="J51"/>
    </sheetView>
  </sheetViews>
  <sheetFormatPr defaultRowHeight="15" x14ac:dyDescent="0.25"/>
  <cols>
    <col min="1" max="1" width="34" customWidth="1"/>
    <col min="2" max="2" width="15.5703125" customWidth="1"/>
    <col min="3" max="3" width="12.7109375" customWidth="1"/>
    <col min="4" max="4" width="23.28515625" customWidth="1"/>
    <col min="5" max="5" width="13.7109375" customWidth="1"/>
    <col min="6" max="7" width="12.85546875" customWidth="1"/>
    <col min="8" max="8" width="13.7109375" customWidth="1"/>
    <col min="9" max="9" width="12.85546875" customWidth="1"/>
    <col min="10" max="10" width="11.85546875" customWidth="1"/>
    <col min="11" max="11" width="22" hidden="1" customWidth="1"/>
    <col min="12" max="12" width="14.7109375" hidden="1" customWidth="1"/>
    <col min="13" max="13" width="12.7109375" hidden="1" customWidth="1"/>
    <col min="14" max="15" width="7.85546875" hidden="1" customWidth="1"/>
    <col min="16" max="16" width="18.5703125" hidden="1" customWidth="1"/>
    <col min="17" max="17" width="7.85546875" hidden="1" customWidth="1"/>
    <col min="18" max="18" width="7.85546875" customWidth="1"/>
    <col min="19" max="19" width="14.7109375" hidden="1" customWidth="1"/>
    <col min="20" max="20" width="9.140625" customWidth="1"/>
  </cols>
  <sheetData>
    <row r="1" spans="1:22" ht="18.75" x14ac:dyDescent="0.3">
      <c r="A1" s="705" t="s">
        <v>315</v>
      </c>
      <c r="B1" s="705"/>
      <c r="C1" s="705"/>
      <c r="D1" s="705"/>
      <c r="E1" s="705"/>
      <c r="F1" s="705"/>
      <c r="G1" s="705"/>
      <c r="H1" s="705"/>
      <c r="I1" s="705"/>
      <c r="J1" s="705"/>
      <c r="K1" s="235" t="s">
        <v>544</v>
      </c>
      <c r="L1" s="237">
        <v>1</v>
      </c>
      <c r="M1" s="236" t="s">
        <v>335</v>
      </c>
      <c r="N1" s="238">
        <v>0.68269999999999997</v>
      </c>
      <c r="P1" s="235" t="s">
        <v>544</v>
      </c>
      <c r="Q1" s="237">
        <v>1</v>
      </c>
    </row>
    <row r="2" spans="1:22" x14ac:dyDescent="0.25">
      <c r="A2" s="1" t="s">
        <v>24</v>
      </c>
      <c r="B2" s="624" t="str">
        <f>'Uncertainty Worksheet'!B48:J48</f>
        <v>Morehouse V 3.31</v>
      </c>
      <c r="C2" s="624"/>
      <c r="D2" s="624"/>
      <c r="E2" s="624"/>
      <c r="F2" s="624"/>
      <c r="G2" s="624"/>
      <c r="H2" s="624"/>
      <c r="I2" s="624"/>
      <c r="J2" s="624"/>
      <c r="K2" s="235" t="s">
        <v>540</v>
      </c>
      <c r="L2" s="237">
        <v>1.96</v>
      </c>
      <c r="M2" s="236" t="s">
        <v>336</v>
      </c>
      <c r="N2" s="239">
        <v>0.95</v>
      </c>
      <c r="P2" s="235" t="s">
        <v>18</v>
      </c>
      <c r="Q2" s="237">
        <v>0</v>
      </c>
    </row>
    <row r="3" spans="1:22" x14ac:dyDescent="0.25">
      <c r="A3" s="1" t="s">
        <v>25</v>
      </c>
      <c r="B3" s="3" t="str">
        <f>'Uncertainty Worksheet'!B49</f>
        <v>FORCE</v>
      </c>
      <c r="C3" s="1" t="s">
        <v>26</v>
      </c>
      <c r="D3" s="3">
        <f>'Uncertainty Worksheet'!D49</f>
        <v>0</v>
      </c>
      <c r="E3" s="1" t="s">
        <v>27</v>
      </c>
      <c r="F3" s="624" t="str">
        <f>'Uncertainty Worksheet'!F49</f>
        <v>N/A</v>
      </c>
      <c r="G3" s="624"/>
      <c r="H3" s="624"/>
      <c r="I3" s="624"/>
      <c r="J3" s="624"/>
      <c r="K3" s="235" t="s">
        <v>541</v>
      </c>
      <c r="L3" s="237">
        <v>2</v>
      </c>
      <c r="M3" s="236"/>
      <c r="N3" s="238">
        <v>0.95450000000000002</v>
      </c>
    </row>
    <row r="4" spans="1:22" ht="15" customHeight="1" thickBot="1" x14ac:dyDescent="0.3">
      <c r="A4" s="1" t="s">
        <v>28</v>
      </c>
      <c r="B4" s="3">
        <f>'Uncertainty Worksheet'!B50</f>
        <v>0</v>
      </c>
      <c r="C4" s="712" t="s">
        <v>30</v>
      </c>
      <c r="D4" s="713"/>
      <c r="E4" s="716">
        <f>'Uncertainty Worksheet'!B8</f>
        <v>0</v>
      </c>
      <c r="F4" s="717"/>
      <c r="G4" s="717"/>
      <c r="H4" s="718"/>
      <c r="I4" s="717"/>
      <c r="J4" s="719"/>
      <c r="K4" s="235" t="s">
        <v>545</v>
      </c>
      <c r="L4" s="237">
        <v>2.4</v>
      </c>
      <c r="M4" s="236"/>
      <c r="N4" s="239">
        <v>0.99</v>
      </c>
    </row>
    <row r="5" spans="1:22" ht="15.75" thickBot="1" x14ac:dyDescent="0.3">
      <c r="A5" s="1" t="s">
        <v>29</v>
      </c>
      <c r="B5" s="32">
        <f>'Uncertainty Worksheet'!B51</f>
        <v>0</v>
      </c>
      <c r="C5" s="714" t="s">
        <v>333</v>
      </c>
      <c r="D5" s="715"/>
      <c r="E5" s="259" t="s">
        <v>336</v>
      </c>
      <c r="F5" s="715" t="s">
        <v>337</v>
      </c>
      <c r="G5" s="715"/>
      <c r="H5" s="259">
        <v>2</v>
      </c>
      <c r="I5" s="255"/>
      <c r="J5" s="234"/>
      <c r="K5" s="235" t="s">
        <v>542</v>
      </c>
      <c r="L5" s="237">
        <v>2.5779999999999998</v>
      </c>
      <c r="M5" s="236"/>
      <c r="N5" s="238">
        <v>0.99729999999999996</v>
      </c>
    </row>
    <row r="6" spans="1:22" ht="30" x14ac:dyDescent="0.25">
      <c r="A6" s="1" t="s">
        <v>22</v>
      </c>
      <c r="B6" s="1" t="s">
        <v>0</v>
      </c>
      <c r="C6" s="1" t="s">
        <v>1</v>
      </c>
      <c r="D6" s="62" t="s">
        <v>2</v>
      </c>
      <c r="E6" s="254" t="s">
        <v>3</v>
      </c>
      <c r="F6" s="1" t="s">
        <v>4</v>
      </c>
      <c r="G6" s="1" t="s">
        <v>5</v>
      </c>
      <c r="H6" s="254" t="s">
        <v>32</v>
      </c>
      <c r="I6" s="2" t="s">
        <v>6</v>
      </c>
      <c r="J6" s="1" t="s">
        <v>31</v>
      </c>
      <c r="K6" s="235" t="s">
        <v>543</v>
      </c>
      <c r="L6" s="237">
        <v>3</v>
      </c>
      <c r="M6" s="236"/>
      <c r="N6" s="236"/>
    </row>
    <row r="7" spans="1:22" x14ac:dyDescent="0.25">
      <c r="A7" s="56" t="s">
        <v>89</v>
      </c>
      <c r="B7" s="244" t="str">
        <f>IF(ISERROR(IF(E5="Y",T50*TINV((1-0.6826),E52),T50)), " ", (IF(E5="Y",T50*TINV((1-0.6826),E52),T50)))</f>
        <v/>
      </c>
      <c r="C7" s="180" t="s">
        <v>7</v>
      </c>
      <c r="D7" s="258" t="s">
        <v>18</v>
      </c>
      <c r="E7" s="243">
        <f>VLOOKUP(D7,Divisor,2,FALSE)</f>
        <v>0</v>
      </c>
      <c r="F7" s="251">
        <f>IF(E5="Y",1000,(COUNT(E25:E44)-1)*COUNT(E25:J25))</f>
        <v>0</v>
      </c>
      <c r="G7" s="19" t="str">
        <f>IF(ISERROR(B7/E7), " ", (B7/E7))</f>
        <v xml:space="preserve"> </v>
      </c>
      <c r="H7" s="19" t="str">
        <f>IF(ISERROR(G7^2), " ", G7^2)</f>
        <v xml:space="preserve"> </v>
      </c>
      <c r="I7" s="12" t="str">
        <f>IF(ISERROR(H7/$H19), " ", (H7/$H19))</f>
        <v xml:space="preserve"> </v>
      </c>
      <c r="J7" s="5" t="str">
        <f>IF(ISERROR(G7^4/F7), " ", (G7^4/F7))</f>
        <v xml:space="preserve"> </v>
      </c>
      <c r="K7" s="235" t="s">
        <v>337</v>
      </c>
      <c r="L7" s="237">
        <f>H5</f>
        <v>2</v>
      </c>
      <c r="M7" s="240"/>
      <c r="N7" s="240"/>
    </row>
    <row r="8" spans="1:22" x14ac:dyDescent="0.25">
      <c r="A8" s="56" t="s">
        <v>90</v>
      </c>
      <c r="B8" s="244" t="str">
        <f>IF(ISERROR(IF(E5="Y",T51*TINV((1-0.6826),E51),T51)), " ", (IF(E5="Y",T51*TINV((1-0.6826),E51),T51)))</f>
        <v/>
      </c>
      <c r="C8" s="180" t="s">
        <v>7</v>
      </c>
      <c r="D8" s="258" t="s">
        <v>334</v>
      </c>
      <c r="E8" s="243">
        <f t="shared" ref="E8:E9" si="0">VLOOKUP(D8,Divisor,2,FALSE)</f>
        <v>1</v>
      </c>
      <c r="F8" s="251">
        <f>IF(E5="Y", 1000, (COUNT(E25:J25)-1))</f>
        <v>-1</v>
      </c>
      <c r="G8" s="19" t="str">
        <f>IF(ISERROR(B8/E8), " ", (B8/E8))</f>
        <v xml:space="preserve"> </v>
      </c>
      <c r="H8" s="19" t="str">
        <f>IF(ISERROR(G8^2), " ", G8^2)</f>
        <v xml:space="preserve"> </v>
      </c>
      <c r="I8" s="12" t="str">
        <f>IF(ISERROR(H8/$H19), " ", (H8/$H19))</f>
        <v xml:space="preserve"> </v>
      </c>
      <c r="J8" s="5" t="str">
        <f>IF(ISERROR(G8^4/F8), " ", (G8^4/F8))</f>
        <v xml:space="preserve"> </v>
      </c>
      <c r="K8" s="235" t="s">
        <v>18</v>
      </c>
      <c r="L8" s="237">
        <v>0</v>
      </c>
      <c r="M8" s="240"/>
      <c r="N8" s="240"/>
    </row>
    <row r="9" spans="1:22" x14ac:dyDescent="0.25">
      <c r="A9" s="13"/>
      <c r="B9" s="18"/>
      <c r="C9" s="41"/>
      <c r="D9" s="242" t="s">
        <v>18</v>
      </c>
      <c r="E9" s="243">
        <f t="shared" si="0"/>
        <v>0</v>
      </c>
      <c r="F9" s="4"/>
      <c r="G9" s="19" t="str">
        <f>IF(ISERROR(B9/E9), " ", (B9/E9))</f>
        <v xml:space="preserve"> </v>
      </c>
      <c r="H9" s="19" t="str">
        <f>IF(ISERROR(G9^2), " ", G9^2)</f>
        <v xml:space="preserve"> </v>
      </c>
      <c r="I9" s="12" t="str">
        <f>IF(ISERROR(H9/$H20), " ", (H9/$H20))</f>
        <v xml:space="preserve"> </v>
      </c>
      <c r="J9" s="5" t="str">
        <f>IF(ISERROR(G9^4/F9), " ", (G9^4/F9))</f>
        <v xml:space="preserve"> </v>
      </c>
      <c r="K9" s="236" t="s">
        <v>338</v>
      </c>
      <c r="L9" s="241">
        <v>1.4142135623730951</v>
      </c>
      <c r="M9" s="240"/>
      <c r="N9" s="240"/>
    </row>
    <row r="10" spans="1:22" x14ac:dyDescent="0.25">
      <c r="A10" s="13" t="str">
        <f>'Uncertainty Worksheet'!A54</f>
        <v>Repeatability</v>
      </c>
      <c r="B10" s="18" t="str">
        <f>'Uncertainty Worksheet'!B54</f>
        <v/>
      </c>
      <c r="C10" s="35" t="str">
        <f>'Uncertainty Worksheet'!C54</f>
        <v>A</v>
      </c>
      <c r="D10" s="35" t="str">
        <f>'Uncertainty Worksheet'!D54</f>
        <v>Normal</v>
      </c>
      <c r="E10" s="243">
        <f>'Uncertainty Worksheet'!E54</f>
        <v>1</v>
      </c>
      <c r="F10" s="31">
        <f>'Uncertainty Worksheet'!F54</f>
        <v>-1</v>
      </c>
      <c r="G10" s="19" t="str">
        <f>IF(ISERROR(B10/E10), " ", (B10/E10))</f>
        <v xml:space="preserve"> </v>
      </c>
      <c r="H10" s="19" t="str">
        <f>IF(ISERROR(G10^2), " ", G10^2)</f>
        <v xml:space="preserve"> </v>
      </c>
      <c r="I10" s="12" t="str">
        <f>IF(ISERROR(H10/$H19), " ", (H10/$H19))</f>
        <v xml:space="preserve"> </v>
      </c>
      <c r="J10" s="5" t="str">
        <f>IF(ISERROR(G10^4/F10), " ", (G10^4/F10))</f>
        <v xml:space="preserve"> </v>
      </c>
      <c r="K10" s="235" t="s">
        <v>339</v>
      </c>
      <c r="L10" s="237">
        <v>1.7320508075688772</v>
      </c>
      <c r="M10" s="240"/>
      <c r="N10" s="240"/>
      <c r="T10" s="231"/>
    </row>
    <row r="11" spans="1:22" x14ac:dyDescent="0.25">
      <c r="A11" s="13" t="str">
        <f>'Uncertainty Worksheet'!A55</f>
        <v>ASTM E74 LLF</v>
      </c>
      <c r="B11" s="18">
        <f>'Uncertainty Worksheet'!B55</f>
        <v>0</v>
      </c>
      <c r="C11" s="35" t="str">
        <f>'Uncertainty Worksheet'!C55</f>
        <v>A</v>
      </c>
      <c r="D11" s="35" t="str">
        <f>'Uncertainty Worksheet'!D55</f>
        <v>Normal</v>
      </c>
      <c r="E11" s="243">
        <f>'Uncertainty Worksheet'!E55</f>
        <v>1</v>
      </c>
      <c r="F11" s="3">
        <f>'Uncertainty Worksheet'!F55</f>
        <v>32</v>
      </c>
      <c r="G11" s="19">
        <f>IF(ISERROR(B11/E11), " ", (B11/E11))</f>
        <v>0</v>
      </c>
      <c r="H11" s="19">
        <f>IF(ISERROR(G11^2), " ", G11^2)</f>
        <v>0</v>
      </c>
      <c r="I11" s="12">
        <f>IF(ISERROR(H11/$H19), " ", (H11/$H19))</f>
        <v>0</v>
      </c>
      <c r="J11" s="5">
        <f>IF(ISERROR(G11^4/F11), " ", (G11^4/F11))</f>
        <v>0</v>
      </c>
      <c r="K11" s="236" t="s">
        <v>340</v>
      </c>
      <c r="L11" s="241">
        <v>2.4494897427831779</v>
      </c>
      <c r="M11" s="236"/>
      <c r="N11" s="236"/>
      <c r="S11" s="232"/>
      <c r="T11" s="233"/>
    </row>
    <row r="12" spans="1:22" x14ac:dyDescent="0.25">
      <c r="A12" s="13" t="str">
        <f>'Uncertainty Worksheet'!A56</f>
        <v>Resolution of UUT</v>
      </c>
      <c r="B12" s="18">
        <f>'Uncertainty Worksheet'!B56</f>
        <v>0</v>
      </c>
      <c r="C12" s="35" t="str">
        <f>'Uncertainty Worksheet'!C56</f>
        <v>B</v>
      </c>
      <c r="D12" s="35" t="str">
        <f>'Uncertainty Worksheet'!D56</f>
        <v>Resolution</v>
      </c>
      <c r="E12" s="243">
        <f>'Uncertainty Worksheet'!E56</f>
        <v>3.4641016151377544</v>
      </c>
      <c r="F12" s="3">
        <f>'Uncertainty Worksheet'!F56</f>
        <v>200</v>
      </c>
      <c r="G12" s="19">
        <f t="shared" ref="G12:G18" si="1">IF(ISERROR(B12/E12), " ", (B12/E12))</f>
        <v>0</v>
      </c>
      <c r="H12" s="19">
        <f t="shared" ref="H12:H18" si="2">IF(ISERROR(G12^2), " ", G12^2)</f>
        <v>0</v>
      </c>
      <c r="I12" s="12">
        <f>IF(ISERROR(H12/$H19), " ", (H12/$H19))</f>
        <v>0</v>
      </c>
      <c r="J12" s="5">
        <f t="shared" ref="J12:J18" si="3">IF(ISERROR(G12^4/F12), " ", (G12^4/F12))</f>
        <v>0</v>
      </c>
      <c r="K12" s="235" t="s">
        <v>341</v>
      </c>
      <c r="L12" s="237">
        <v>3.4641016151377544</v>
      </c>
      <c r="M12" s="236"/>
      <c r="N12" s="236"/>
    </row>
    <row r="13" spans="1:22" x14ac:dyDescent="0.25">
      <c r="A13" s="13" t="str">
        <f>'Uncertainty Worksheet'!A57</f>
        <v>Environmental Conditions</v>
      </c>
      <c r="B13" s="18">
        <f>'Uncertainty Worksheet'!B57</f>
        <v>0</v>
      </c>
      <c r="C13" s="35" t="str">
        <f>'Uncertainty Worksheet'!C57</f>
        <v>B</v>
      </c>
      <c r="D13" s="35" t="str">
        <f>'Uncertainty Worksheet'!D57</f>
        <v>Rectangular</v>
      </c>
      <c r="E13" s="243">
        <f>'Uncertainty Worksheet'!E57</f>
        <v>1.7320508075688772</v>
      </c>
      <c r="F13" s="3">
        <f>'Uncertainty Worksheet'!F57</f>
        <v>200</v>
      </c>
      <c r="G13" s="19">
        <f t="shared" si="1"/>
        <v>0</v>
      </c>
      <c r="H13" s="19">
        <f t="shared" si="2"/>
        <v>0</v>
      </c>
      <c r="I13" s="12">
        <f>IF(ISERROR(H13/$H19), " ", (H13/$H19))</f>
        <v>0</v>
      </c>
      <c r="J13" s="5">
        <f t="shared" si="3"/>
        <v>0</v>
      </c>
      <c r="K13" s="235"/>
      <c r="L13" s="237"/>
      <c r="M13" s="240"/>
      <c r="N13" s="240"/>
      <c r="V13" s="265"/>
    </row>
    <row r="14" spans="1:22" x14ac:dyDescent="0.25">
      <c r="A14" s="13" t="str">
        <f>'Uncertainty Worksheet'!A58</f>
        <v>Stability of  Ref Standard</v>
      </c>
      <c r="B14" s="18">
        <f>'Uncertainty Worksheet'!B58</f>
        <v>0</v>
      </c>
      <c r="C14" s="35" t="str">
        <f>'Uncertainty Worksheet'!C58</f>
        <v>B</v>
      </c>
      <c r="D14" s="35" t="str">
        <f>'Uncertainty Worksheet'!D58</f>
        <v>Rectangular</v>
      </c>
      <c r="E14" s="243">
        <f>'Uncertainty Worksheet'!E58</f>
        <v>1.7320508075688772</v>
      </c>
      <c r="F14" s="3">
        <f>'Uncertainty Worksheet'!F58</f>
        <v>200</v>
      </c>
      <c r="G14" s="19">
        <f t="shared" si="1"/>
        <v>0</v>
      </c>
      <c r="H14" s="19">
        <f t="shared" si="2"/>
        <v>0</v>
      </c>
      <c r="I14" s="12">
        <f>IF(ISERROR(H14/$H19), " ", (H14/$H19))</f>
        <v>0</v>
      </c>
      <c r="J14" s="5">
        <f t="shared" si="3"/>
        <v>0</v>
      </c>
      <c r="K14" s="236"/>
      <c r="L14" s="241"/>
      <c r="M14" s="236"/>
      <c r="N14" s="236"/>
    </row>
    <row r="15" spans="1:22" x14ac:dyDescent="0.25">
      <c r="A15" s="13" t="str">
        <f>'Uncertainty Worksheet'!A59</f>
        <v>Ref Standard Resolution</v>
      </c>
      <c r="B15" s="18">
        <f>'Uncertainty Worksheet'!B59</f>
        <v>2.4E-2</v>
      </c>
      <c r="C15" s="35" t="str">
        <f>'Uncertainty Worksheet'!C59</f>
        <v>B</v>
      </c>
      <c r="D15" s="35" t="str">
        <f>'Uncertainty Worksheet'!D59</f>
        <v>Resolution</v>
      </c>
      <c r="E15" s="243">
        <f>'Uncertainty Worksheet'!E59</f>
        <v>3.4641016151377544</v>
      </c>
      <c r="F15" s="3">
        <f>'Uncertainty Worksheet'!F59</f>
        <v>200</v>
      </c>
      <c r="G15" s="19">
        <f t="shared" si="1"/>
        <v>6.9282032302755096E-3</v>
      </c>
      <c r="H15" s="19">
        <f t="shared" si="2"/>
        <v>4.8000000000000008E-5</v>
      </c>
      <c r="I15" s="12">
        <f>IF(ISERROR(H15/$H19), " ", (H15/$H19))</f>
        <v>1</v>
      </c>
      <c r="J15" s="5">
        <f t="shared" si="3"/>
        <v>1.1520000000000004E-11</v>
      </c>
      <c r="K15" s="235"/>
      <c r="L15" s="237"/>
      <c r="M15" s="236"/>
      <c r="N15" s="236"/>
    </row>
    <row r="16" spans="1:22" ht="30" x14ac:dyDescent="0.25">
      <c r="A16" s="13" t="str">
        <f>'Uncertainty Worksheet'!A60</f>
        <v>Non ASTM or ISO 376 (Tolerance,Non-Linearity,SEB)</v>
      </c>
      <c r="B16" s="18">
        <f>'Uncertainty Worksheet'!B60</f>
        <v>0</v>
      </c>
      <c r="C16" s="35" t="str">
        <f>'Uncertainty Worksheet'!C60</f>
        <v>B</v>
      </c>
      <c r="D16" s="35" t="str">
        <f>'Uncertainty Worksheet'!D60</f>
        <v>Rectangular</v>
      </c>
      <c r="E16" s="243">
        <f>'Uncertainty Worksheet'!E60</f>
        <v>1.7320508075688772</v>
      </c>
      <c r="F16" s="3" t="str">
        <f>'Uncertainty Worksheet'!F60</f>
        <v/>
      </c>
      <c r="G16" s="19">
        <f t="shared" si="1"/>
        <v>0</v>
      </c>
      <c r="H16" s="19">
        <f t="shared" si="2"/>
        <v>0</v>
      </c>
      <c r="I16" s="12">
        <f>IF(ISERROR(H16/$H19), " ", (H16/$H19))</f>
        <v>0</v>
      </c>
      <c r="J16" s="5" t="str">
        <f t="shared" si="3"/>
        <v xml:space="preserve"> </v>
      </c>
      <c r="M16" s="27"/>
      <c r="N16" s="47"/>
    </row>
    <row r="17" spans="1:21" x14ac:dyDescent="0.25">
      <c r="A17" s="13" t="str">
        <f>'Uncertainty Worksheet'!A61</f>
        <v>Miscellaneous Error</v>
      </c>
      <c r="B17" s="18">
        <f>'Uncertainty Worksheet'!B61</f>
        <v>0</v>
      </c>
      <c r="C17" s="35" t="str">
        <f>'Uncertainty Worksheet'!C61</f>
        <v>B</v>
      </c>
      <c r="D17" s="35" t="str">
        <f>'Uncertainty Worksheet'!D61</f>
        <v>Rectangular</v>
      </c>
      <c r="E17" s="243">
        <f>'Uncertainty Worksheet'!E61</f>
        <v>1.7320508075688772</v>
      </c>
      <c r="F17" s="3">
        <f>'Uncertainty Worksheet'!F61</f>
        <v>200</v>
      </c>
      <c r="G17" s="19">
        <f t="shared" si="1"/>
        <v>0</v>
      </c>
      <c r="H17" s="19">
        <f t="shared" si="2"/>
        <v>0</v>
      </c>
      <c r="I17" s="12">
        <f>IF(ISERROR(H17/$H19), " ", (H17/$H19))</f>
        <v>0</v>
      </c>
      <c r="J17" s="5">
        <f t="shared" si="3"/>
        <v>0</v>
      </c>
      <c r="M17" s="27"/>
      <c r="N17" s="47"/>
    </row>
    <row r="18" spans="1:21" x14ac:dyDescent="0.25">
      <c r="A18" s="13" t="str">
        <f>'Uncertainty Worksheet'!A62</f>
        <v>Morehouse CMC</v>
      </c>
      <c r="B18" s="18">
        <f>'Uncertainty Worksheet'!B62</f>
        <v>0</v>
      </c>
      <c r="C18" s="35" t="str">
        <f>'Uncertainty Worksheet'!C62</f>
        <v>B</v>
      </c>
      <c r="D18" s="35" t="str">
        <f>'Uncertainty Worksheet'!D62</f>
        <v>Expanded (95.45% k=2)</v>
      </c>
      <c r="E18" s="243">
        <f>'Uncertainty Worksheet'!E62</f>
        <v>2</v>
      </c>
      <c r="F18" s="3">
        <f>'Uncertainty Worksheet'!F62</f>
        <v>200</v>
      </c>
      <c r="G18" s="19">
        <f t="shared" si="1"/>
        <v>0</v>
      </c>
      <c r="H18" s="19">
        <f t="shared" si="2"/>
        <v>0</v>
      </c>
      <c r="I18" s="12">
        <f>IF(ISERROR(H18/$H19), " ", (H18/$H19))</f>
        <v>0</v>
      </c>
      <c r="J18" s="5">
        <f t="shared" si="3"/>
        <v>0</v>
      </c>
      <c r="M18" s="27"/>
      <c r="N18" s="47"/>
    </row>
    <row r="19" spans="1:21" ht="18" x14ac:dyDescent="0.35">
      <c r="A19" s="7"/>
      <c r="B19" s="7"/>
      <c r="D19" s="706" t="s">
        <v>75</v>
      </c>
      <c r="E19" s="619"/>
      <c r="F19" s="620"/>
      <c r="G19" s="20">
        <f>SQRT(H19)</f>
        <v>6.9282032302755096E-3</v>
      </c>
      <c r="H19" s="21">
        <f>SUM(H7:H18)</f>
        <v>4.8000000000000008E-5</v>
      </c>
      <c r="I19" s="17">
        <f>SUM(I7:I18)</f>
        <v>1</v>
      </c>
      <c r="J19" s="16">
        <f>SUM(J7:J18)</f>
        <v>1.1520000000000004E-11</v>
      </c>
    </row>
    <row r="20" spans="1:21" ht="15.75" thickBot="1" x14ac:dyDescent="0.3">
      <c r="A20" s="7"/>
      <c r="B20" s="7"/>
      <c r="D20" s="644" t="s">
        <v>12</v>
      </c>
      <c r="E20" s="644"/>
      <c r="F20" s="707"/>
      <c r="G20" s="14">
        <f>IF(ISERROR(INT(G19^4/J19)), " ", INT(G19^4/J19))</f>
        <v>200</v>
      </c>
      <c r="H20" s="708" t="s">
        <v>76</v>
      </c>
      <c r="I20" s="6"/>
      <c r="J20" s="6"/>
    </row>
    <row r="21" spans="1:21" ht="15.75" thickBot="1" x14ac:dyDescent="0.3">
      <c r="A21" s="7"/>
      <c r="B21" s="7"/>
      <c r="D21" s="249" t="s">
        <v>345</v>
      </c>
      <c r="E21" s="252"/>
      <c r="F21" s="260">
        <v>0.95450000000000002</v>
      </c>
      <c r="G21" s="253">
        <f>IF(ISERROR(TINV((1-F21),G20)), " ", TINV((1-F21),G20))</f>
        <v>2.0125794050712815</v>
      </c>
      <c r="H21" s="709"/>
      <c r="I21" s="6"/>
      <c r="J21" s="6"/>
    </row>
    <row r="22" spans="1:21" x14ac:dyDescent="0.25">
      <c r="A22" s="7"/>
      <c r="B22" s="7"/>
      <c r="D22" s="692" t="s">
        <v>77</v>
      </c>
      <c r="E22" s="692"/>
      <c r="F22" s="711"/>
      <c r="G22" s="48">
        <f>IF(ISERROR(G19*G21), " ", G19*G21)</f>
        <v>1.3943559135400817E-2</v>
      </c>
      <c r="H22" s="710"/>
    </row>
    <row r="23" spans="1:21" x14ac:dyDescent="0.25">
      <c r="A23" s="7"/>
      <c r="B23" s="7"/>
      <c r="D23" s="724" t="s">
        <v>78</v>
      </c>
      <c r="E23" s="725"/>
      <c r="F23" s="725"/>
      <c r="G23" s="725"/>
      <c r="H23" s="725"/>
      <c r="I23" s="725"/>
      <c r="J23" s="725"/>
    </row>
    <row r="24" spans="1:21" ht="15.75" thickBot="1" x14ac:dyDescent="0.3">
      <c r="A24" s="7"/>
      <c r="B24" s="7"/>
      <c r="D24" s="4"/>
      <c r="E24" s="89" t="s">
        <v>717</v>
      </c>
      <c r="F24" s="89" t="s">
        <v>718</v>
      </c>
      <c r="G24" s="89" t="s">
        <v>79</v>
      </c>
      <c r="H24" s="89" t="s">
        <v>80</v>
      </c>
      <c r="I24" s="89" t="s">
        <v>81</v>
      </c>
      <c r="J24" s="89" t="s">
        <v>82</v>
      </c>
    </row>
    <row r="25" spans="1:21" x14ac:dyDescent="0.25">
      <c r="A25" s="7"/>
      <c r="B25" s="7"/>
      <c r="D25" s="183">
        <v>1</v>
      </c>
      <c r="E25" s="313"/>
      <c r="F25" s="185"/>
      <c r="G25" s="185"/>
      <c r="H25" s="185"/>
      <c r="I25" s="186"/>
      <c r="J25" s="187"/>
    </row>
    <row r="26" spans="1:21" x14ac:dyDescent="0.25">
      <c r="A26" s="7"/>
      <c r="B26" s="7"/>
      <c r="D26" s="183">
        <v>2</v>
      </c>
      <c r="E26" s="314"/>
      <c r="F26" s="181"/>
      <c r="G26" s="181"/>
      <c r="H26" s="181"/>
      <c r="I26" s="182"/>
      <c r="J26" s="188"/>
    </row>
    <row r="27" spans="1:21" x14ac:dyDescent="0.25">
      <c r="A27" s="7"/>
      <c r="B27" s="7"/>
      <c r="D27" s="183">
        <v>3</v>
      </c>
      <c r="E27" s="314"/>
      <c r="F27" s="181"/>
      <c r="G27" s="181"/>
      <c r="H27" s="181"/>
      <c r="I27" s="182"/>
      <c r="J27" s="188"/>
      <c r="U27" s="265"/>
    </row>
    <row r="28" spans="1:21" x14ac:dyDescent="0.25">
      <c r="A28" s="7"/>
      <c r="B28" s="7"/>
      <c r="D28" s="183">
        <v>4</v>
      </c>
      <c r="E28" s="314"/>
      <c r="F28" s="181"/>
      <c r="G28" s="181"/>
      <c r="H28" s="181"/>
      <c r="I28" s="182"/>
      <c r="J28" s="188"/>
    </row>
    <row r="29" spans="1:21" x14ac:dyDescent="0.25">
      <c r="A29" s="7"/>
      <c r="B29" s="7"/>
      <c r="D29" s="183">
        <v>5</v>
      </c>
      <c r="E29" s="314"/>
      <c r="F29" s="181"/>
      <c r="G29" s="181"/>
      <c r="H29" s="181"/>
      <c r="I29" s="182"/>
      <c r="J29" s="188"/>
    </row>
    <row r="30" spans="1:21" x14ac:dyDescent="0.25">
      <c r="A30" s="7"/>
      <c r="B30" s="7"/>
      <c r="D30" s="183">
        <v>6</v>
      </c>
      <c r="E30" s="314"/>
      <c r="F30" s="181"/>
      <c r="G30" s="181"/>
      <c r="H30" s="181"/>
      <c r="I30" s="182"/>
      <c r="J30" s="188"/>
    </row>
    <row r="31" spans="1:21" x14ac:dyDescent="0.25">
      <c r="A31" s="7"/>
      <c r="B31" s="7"/>
      <c r="D31" s="183">
        <v>7</v>
      </c>
      <c r="E31" s="314"/>
      <c r="F31" s="181"/>
      <c r="G31" s="181"/>
      <c r="H31" s="181"/>
      <c r="I31" s="182"/>
      <c r="J31" s="188"/>
    </row>
    <row r="32" spans="1:21" x14ac:dyDescent="0.25">
      <c r="A32" s="7"/>
      <c r="B32" s="7"/>
      <c r="D32" s="183">
        <v>8</v>
      </c>
      <c r="E32" s="314"/>
      <c r="F32" s="181"/>
      <c r="G32" s="181"/>
      <c r="H32" s="181"/>
      <c r="I32" s="182"/>
      <c r="J32" s="188"/>
    </row>
    <row r="33" spans="1:17" x14ac:dyDescent="0.25">
      <c r="A33" s="7"/>
      <c r="B33" s="7"/>
      <c r="D33" s="183">
        <v>9</v>
      </c>
      <c r="E33" s="314"/>
      <c r="F33" s="181"/>
      <c r="G33" s="181"/>
      <c r="H33" s="181"/>
      <c r="I33" s="182"/>
      <c r="J33" s="188"/>
    </row>
    <row r="34" spans="1:17" x14ac:dyDescent="0.25">
      <c r="A34" s="7"/>
      <c r="B34" s="7"/>
      <c r="D34" s="183">
        <v>10</v>
      </c>
      <c r="E34" s="314"/>
      <c r="F34" s="181"/>
      <c r="G34" s="181"/>
      <c r="H34" s="181"/>
      <c r="I34" s="182"/>
      <c r="J34" s="188"/>
      <c r="Q34" t="s">
        <v>136</v>
      </c>
    </row>
    <row r="35" spans="1:17" x14ac:dyDescent="0.25">
      <c r="A35" s="7"/>
      <c r="B35" s="7"/>
      <c r="D35" s="183">
        <v>11</v>
      </c>
      <c r="E35" s="189"/>
      <c r="F35" s="182"/>
      <c r="G35" s="181"/>
      <c r="H35" s="182"/>
      <c r="I35" s="182"/>
      <c r="J35" s="188"/>
      <c r="Q35" t="s">
        <v>135</v>
      </c>
    </row>
    <row r="36" spans="1:17" x14ac:dyDescent="0.25">
      <c r="D36" s="183">
        <v>12</v>
      </c>
      <c r="E36" s="189"/>
      <c r="F36" s="182"/>
      <c r="G36" s="182"/>
      <c r="H36" s="182"/>
      <c r="I36" s="182"/>
      <c r="J36" s="188"/>
    </row>
    <row r="37" spans="1:17" x14ac:dyDescent="0.25">
      <c r="A37" s="49" t="s">
        <v>2</v>
      </c>
      <c r="B37" s="50" t="s">
        <v>3</v>
      </c>
      <c r="C37" s="49" t="s">
        <v>83</v>
      </c>
      <c r="D37" s="183">
        <v>13</v>
      </c>
      <c r="E37" s="189"/>
      <c r="F37" s="182"/>
      <c r="G37" s="182"/>
      <c r="H37" s="182"/>
      <c r="I37" s="182"/>
      <c r="J37" s="188"/>
    </row>
    <row r="38" spans="1:17" x14ac:dyDescent="0.25">
      <c r="A38" s="51" t="s">
        <v>19</v>
      </c>
      <c r="B38" s="52">
        <f>SQRT(3)</f>
        <v>1.7320508075688772</v>
      </c>
      <c r="C38" s="53">
        <f>1/SQRT(3)</f>
        <v>0.57735026918962584</v>
      </c>
      <c r="D38" s="183">
        <v>14</v>
      </c>
      <c r="E38" s="189"/>
      <c r="F38" s="182"/>
      <c r="G38" s="182"/>
      <c r="H38" s="182"/>
      <c r="I38" s="182"/>
      <c r="J38" s="188"/>
    </row>
    <row r="39" spans="1:17" x14ac:dyDescent="0.25">
      <c r="A39" s="51" t="s">
        <v>20</v>
      </c>
      <c r="B39" s="52">
        <f>SQRT(6)</f>
        <v>2.4494897427831779</v>
      </c>
      <c r="C39" s="53">
        <f>1/SQRT(6)</f>
        <v>0.40824829046386307</v>
      </c>
      <c r="D39" s="183">
        <v>15</v>
      </c>
      <c r="E39" s="189"/>
      <c r="F39" s="182"/>
      <c r="G39" s="182"/>
      <c r="H39" s="182"/>
      <c r="I39" s="182"/>
      <c r="J39" s="188"/>
    </row>
    <row r="40" spans="1:17" x14ac:dyDescent="0.25">
      <c r="A40" s="51" t="s">
        <v>84</v>
      </c>
      <c r="B40" s="52">
        <f>SQRT(2)</f>
        <v>1.4142135623730951</v>
      </c>
      <c r="C40" s="53">
        <f>1/SQRT(2)</f>
        <v>0.70710678118654746</v>
      </c>
      <c r="D40" s="183">
        <v>16</v>
      </c>
      <c r="E40" s="189"/>
      <c r="F40" s="182"/>
      <c r="G40" s="182"/>
      <c r="H40" s="182"/>
      <c r="I40" s="182"/>
      <c r="J40" s="188"/>
    </row>
    <row r="41" spans="1:17" x14ac:dyDescent="0.25">
      <c r="A41" s="51" t="s">
        <v>85</v>
      </c>
      <c r="B41" s="52">
        <f>SQRT(12)</f>
        <v>3.4641016151377544</v>
      </c>
      <c r="C41" s="52">
        <f>1/SQRT(12)</f>
        <v>0.28867513459481292</v>
      </c>
      <c r="D41" s="183">
        <v>17</v>
      </c>
      <c r="E41" s="189"/>
      <c r="F41" s="182"/>
      <c r="G41" s="182"/>
      <c r="H41" s="182"/>
      <c r="I41" s="182"/>
      <c r="J41" s="188"/>
    </row>
    <row r="42" spans="1:17" x14ac:dyDescent="0.25">
      <c r="A42" s="54" t="s">
        <v>86</v>
      </c>
      <c r="B42" s="723" t="s">
        <v>87</v>
      </c>
      <c r="C42" s="723"/>
      <c r="D42" s="183">
        <v>18</v>
      </c>
      <c r="E42" s="189"/>
      <c r="F42" s="182"/>
      <c r="G42" s="182"/>
      <c r="H42" s="182"/>
      <c r="I42" s="182"/>
      <c r="J42" s="188"/>
    </row>
    <row r="43" spans="1:17" x14ac:dyDescent="0.25">
      <c r="A43" s="55">
        <v>1</v>
      </c>
      <c r="B43" s="728">
        <v>68.27</v>
      </c>
      <c r="C43" s="728"/>
      <c r="D43" s="183">
        <v>19</v>
      </c>
      <c r="E43" s="189"/>
      <c r="F43" s="182"/>
      <c r="G43" s="182"/>
      <c r="H43" s="182"/>
      <c r="I43" s="182"/>
      <c r="J43" s="188"/>
    </row>
    <row r="44" spans="1:17" ht="15.75" thickBot="1" x14ac:dyDescent="0.3">
      <c r="A44" s="55">
        <v>1.645</v>
      </c>
      <c r="B44" s="728">
        <v>90</v>
      </c>
      <c r="C44" s="728"/>
      <c r="D44" s="183">
        <v>20</v>
      </c>
      <c r="E44" s="190"/>
      <c r="F44" s="191"/>
      <c r="G44" s="191"/>
      <c r="H44" s="191"/>
      <c r="I44" s="191"/>
      <c r="J44" s="192"/>
    </row>
    <row r="45" spans="1:17" x14ac:dyDescent="0.25">
      <c r="A45" s="55">
        <v>1.96</v>
      </c>
      <c r="B45" s="728">
        <v>95</v>
      </c>
      <c r="C45" s="728"/>
      <c r="D45" s="11" t="s">
        <v>43</v>
      </c>
      <c r="E45" s="184" t="str">
        <f t="shared" ref="E45:J45" si="4">IF(ISERROR(STDEV(E25:E44)), " ", STDEV(E25:E44))</f>
        <v xml:space="preserve"> </v>
      </c>
      <c r="F45" s="184" t="str">
        <f t="shared" si="4"/>
        <v xml:space="preserve"> </v>
      </c>
      <c r="G45" s="184" t="str">
        <f t="shared" si="4"/>
        <v xml:space="preserve"> </v>
      </c>
      <c r="H45" s="184" t="str">
        <f t="shared" si="4"/>
        <v xml:space="preserve"> </v>
      </c>
      <c r="I45" s="184" t="str">
        <f t="shared" si="4"/>
        <v xml:space="preserve"> </v>
      </c>
      <c r="J45" s="184" t="str">
        <f t="shared" si="4"/>
        <v xml:space="preserve"> </v>
      </c>
    </row>
    <row r="46" spans="1:17" x14ac:dyDescent="0.25">
      <c r="A46" s="55">
        <v>2</v>
      </c>
      <c r="B46" s="728">
        <v>95.45</v>
      </c>
      <c r="C46" s="728"/>
      <c r="D46" s="11" t="s">
        <v>41</v>
      </c>
      <c r="E46" s="4" t="str">
        <f t="shared" ref="E46:J46" si="5">IF(ISERROR(AVERAGE(E25:E44)), " ", AVERAGE(E25:E44))</f>
        <v xml:space="preserve"> </v>
      </c>
      <c r="F46" s="4" t="str">
        <f t="shared" si="5"/>
        <v xml:space="preserve"> </v>
      </c>
      <c r="G46" s="4" t="str">
        <f t="shared" si="5"/>
        <v xml:space="preserve"> </v>
      </c>
      <c r="H46" s="4" t="str">
        <f t="shared" si="5"/>
        <v xml:space="preserve"> </v>
      </c>
      <c r="I46" s="4" t="str">
        <f t="shared" si="5"/>
        <v xml:space="preserve"> </v>
      </c>
      <c r="J46" s="4" t="str">
        <f t="shared" si="5"/>
        <v xml:space="preserve"> </v>
      </c>
    </row>
    <row r="47" spans="1:17" ht="15.75" thickBot="1" x14ac:dyDescent="0.3">
      <c r="A47" s="55">
        <v>2.5760000000000001</v>
      </c>
      <c r="B47" s="728">
        <v>99</v>
      </c>
      <c r="C47" s="728"/>
      <c r="D47" s="11" t="s">
        <v>73</v>
      </c>
      <c r="E47" s="4" t="str">
        <f t="shared" ref="E47:J47" si="6">IF(ISERROR(VAR(E25:E44)), " ", VAR(E25:E44))</f>
        <v xml:space="preserve"> </v>
      </c>
      <c r="F47" s="4" t="str">
        <f t="shared" si="6"/>
        <v xml:space="preserve"> </v>
      </c>
      <c r="G47" s="4" t="str">
        <f t="shared" si="6"/>
        <v xml:space="preserve"> </v>
      </c>
      <c r="H47" s="153" t="str">
        <f t="shared" si="6"/>
        <v xml:space="preserve"> </v>
      </c>
      <c r="I47" s="4" t="str">
        <f t="shared" si="6"/>
        <v xml:space="preserve"> </v>
      </c>
      <c r="J47" s="4" t="str">
        <f t="shared" si="6"/>
        <v xml:space="preserve"> </v>
      </c>
    </row>
    <row r="48" spans="1:17" ht="15.75" thickBot="1" x14ac:dyDescent="0.3">
      <c r="A48" s="55">
        <v>3</v>
      </c>
      <c r="B48" s="728">
        <v>99.73</v>
      </c>
      <c r="C48" s="728"/>
      <c r="D48" s="726" t="s">
        <v>9</v>
      </c>
      <c r="E48" s="727"/>
      <c r="F48" s="11" t="str">
        <f>IF(ISERROR(SQRT(AVERAGE(E47:J47))), " ", SQRT(AVERAGE(E47:J47)))</f>
        <v xml:space="preserve"> </v>
      </c>
      <c r="G48" s="151"/>
      <c r="H48" s="157" t="str">
        <f>IFERROR(J51/(AVERAGE(E46:J46)),"")</f>
        <v/>
      </c>
      <c r="I48" s="156" t="str">
        <f>IFERROR(ABS(F48*$H$48),"")</f>
        <v/>
      </c>
      <c r="J48" s="4" t="str">
        <f>'Uncertainty Worksheet'!$C$11</f>
        <v>lbf</v>
      </c>
    </row>
    <row r="49" spans="1:20" ht="15.75" thickBot="1" x14ac:dyDescent="0.3">
      <c r="D49" s="726" t="s">
        <v>74</v>
      </c>
      <c r="E49" s="727"/>
      <c r="F49" s="11" t="str">
        <f>IF(ISERROR(STDEV(E46:J46)), " ", STDEV(E46:J46))</f>
        <v xml:space="preserve"> </v>
      </c>
      <c r="H49" s="143"/>
      <c r="I49" s="152" t="str">
        <f>IFERROR(ABS(F49*$H$48),"")</f>
        <v/>
      </c>
      <c r="J49" s="153" t="str">
        <f>'Uncertainty Worksheet'!$C$11</f>
        <v>lbf</v>
      </c>
    </row>
    <row r="50" spans="1:20" ht="15.75" thickBot="1" x14ac:dyDescent="0.3">
      <c r="D50" s="11" t="s">
        <v>88</v>
      </c>
      <c r="F50" s="155" t="str">
        <f>IFERROR(STDEV(E46:J46)/SQRT((COUNT(E46:J46))),"")</f>
        <v/>
      </c>
      <c r="G50" s="720" t="s">
        <v>163</v>
      </c>
      <c r="H50" s="721"/>
      <c r="I50" s="722"/>
      <c r="J50" s="519" t="s">
        <v>136</v>
      </c>
      <c r="S50" t="s">
        <v>367</v>
      </c>
      <c r="T50" t="str">
        <f>IF(J50="YES",I48,F48)</f>
        <v/>
      </c>
    </row>
    <row r="51" spans="1:20" ht="19.5" thickBot="1" x14ac:dyDescent="0.3">
      <c r="D51" s="245" t="s">
        <v>342</v>
      </c>
      <c r="E51" s="247" t="str">
        <f>IF((COUNT(E25:J25)=0), " ",(COUNT(E25:J25)-1))</f>
        <v xml:space="preserve"> </v>
      </c>
      <c r="G51" s="158" t="s">
        <v>164</v>
      </c>
      <c r="H51" s="159"/>
      <c r="I51" s="160"/>
      <c r="J51" s="221">
        <f>MAX('Uncertainty Worksheet'!B31:B42)</f>
        <v>0</v>
      </c>
      <c r="S51" t="s">
        <v>74</v>
      </c>
      <c r="T51" t="str">
        <f>IF(J50="YES",I49,F49)</f>
        <v/>
      </c>
    </row>
    <row r="52" spans="1:20" ht="19.5" thickBot="1" x14ac:dyDescent="0.3">
      <c r="D52" s="246" t="s">
        <v>343</v>
      </c>
      <c r="E52" s="248" t="str">
        <f>IF((COUNT(E25:J44)=0)," ",(COUNT(E25:E44)-1)*COUNT(E25:J25))</f>
        <v xml:space="preserve"> </v>
      </c>
    </row>
    <row r="56" spans="1:20" x14ac:dyDescent="0.25">
      <c r="A56" s="58" t="s">
        <v>92</v>
      </c>
    </row>
    <row r="59" spans="1:20" ht="45" customHeight="1" x14ac:dyDescent="0.25">
      <c r="B59" s="520" t="s">
        <v>398</v>
      </c>
      <c r="C59" s="520" t="s">
        <v>397</v>
      </c>
      <c r="D59" s="521" t="s">
        <v>89</v>
      </c>
      <c r="E59" s="521" t="s">
        <v>396</v>
      </c>
      <c r="K59" t="s">
        <v>367</v>
      </c>
      <c r="L59" t="s">
        <v>74</v>
      </c>
      <c r="M59" t="s">
        <v>395</v>
      </c>
    </row>
    <row r="60" spans="1:20" x14ac:dyDescent="0.25">
      <c r="B60" s="478" t="s">
        <v>383</v>
      </c>
      <c r="C60" s="478">
        <f>'Uncertainty Worksheet'!B31</f>
        <v>0</v>
      </c>
      <c r="D60" s="522" t="e">
        <f>ABS($K$60*M60)</f>
        <v>#VALUE!</v>
      </c>
      <c r="E60" s="522" t="e">
        <f>ABS($L$60*M60)</f>
        <v>#VALUE!</v>
      </c>
      <c r="K60" t="str">
        <f>$F$48</f>
        <v xml:space="preserve"> </v>
      </c>
      <c r="L60" t="str">
        <f>$F$49</f>
        <v xml:space="preserve"> </v>
      </c>
      <c r="M60" t="e">
        <f t="shared" ref="M60:M71" si="7">C60/(AVERAGE($E$46:$J$46))</f>
        <v>#DIV/0!</v>
      </c>
    </row>
    <row r="61" spans="1:20" x14ac:dyDescent="0.25">
      <c r="B61" s="478" t="s">
        <v>384</v>
      </c>
      <c r="C61" s="478">
        <f>'Uncertainty Worksheet'!B32</f>
        <v>0</v>
      </c>
      <c r="D61" s="522" t="e">
        <f t="shared" ref="D61:D71" si="8">ABS($K$60*M61)</f>
        <v>#VALUE!</v>
      </c>
      <c r="E61" s="522" t="e">
        <f t="shared" ref="E61:E71" si="9">ABS($L$60*M61)</f>
        <v>#VALUE!</v>
      </c>
      <c r="M61" t="e">
        <f t="shared" si="7"/>
        <v>#DIV/0!</v>
      </c>
    </row>
    <row r="62" spans="1:20" x14ac:dyDescent="0.25">
      <c r="B62" s="478" t="s">
        <v>385</v>
      </c>
      <c r="C62" s="478">
        <f>'Uncertainty Worksheet'!B33</f>
        <v>0</v>
      </c>
      <c r="D62" s="522" t="e">
        <f t="shared" si="8"/>
        <v>#VALUE!</v>
      </c>
      <c r="E62" s="522" t="e">
        <f t="shared" si="9"/>
        <v>#VALUE!</v>
      </c>
      <c r="M62" t="e">
        <f t="shared" si="7"/>
        <v>#DIV/0!</v>
      </c>
    </row>
    <row r="63" spans="1:20" x14ac:dyDescent="0.25">
      <c r="B63" s="478" t="s">
        <v>386</v>
      </c>
      <c r="C63" s="478">
        <f>'Uncertainty Worksheet'!B34</f>
        <v>0</v>
      </c>
      <c r="D63" s="522" t="e">
        <f t="shared" si="8"/>
        <v>#VALUE!</v>
      </c>
      <c r="E63" s="522" t="e">
        <f t="shared" si="9"/>
        <v>#VALUE!</v>
      </c>
      <c r="M63" t="e">
        <f t="shared" si="7"/>
        <v>#DIV/0!</v>
      </c>
    </row>
    <row r="64" spans="1:20" x14ac:dyDescent="0.25">
      <c r="B64" s="478" t="s">
        <v>387</v>
      </c>
      <c r="C64" s="478">
        <f>'Uncertainty Worksheet'!B35</f>
        <v>0</v>
      </c>
      <c r="D64" s="522" t="e">
        <f t="shared" si="8"/>
        <v>#VALUE!</v>
      </c>
      <c r="E64" s="522" t="e">
        <f t="shared" si="9"/>
        <v>#VALUE!</v>
      </c>
      <c r="M64" t="e">
        <f t="shared" si="7"/>
        <v>#DIV/0!</v>
      </c>
    </row>
    <row r="65" spans="2:13" x14ac:dyDescent="0.25">
      <c r="B65" s="478" t="s">
        <v>388</v>
      </c>
      <c r="C65" s="478">
        <f>'Uncertainty Worksheet'!B36</f>
        <v>0</v>
      </c>
      <c r="D65" s="522" t="e">
        <f t="shared" si="8"/>
        <v>#VALUE!</v>
      </c>
      <c r="E65" s="522" t="e">
        <f t="shared" si="9"/>
        <v>#VALUE!</v>
      </c>
      <c r="M65" t="e">
        <f t="shared" si="7"/>
        <v>#DIV/0!</v>
      </c>
    </row>
    <row r="66" spans="2:13" x14ac:dyDescent="0.25">
      <c r="B66" s="478" t="s">
        <v>389</v>
      </c>
      <c r="C66" s="478">
        <f>'Uncertainty Worksheet'!B37</f>
        <v>0</v>
      </c>
      <c r="D66" s="522" t="e">
        <f t="shared" si="8"/>
        <v>#VALUE!</v>
      </c>
      <c r="E66" s="522" t="e">
        <f t="shared" si="9"/>
        <v>#VALUE!</v>
      </c>
      <c r="M66" t="e">
        <f t="shared" si="7"/>
        <v>#DIV/0!</v>
      </c>
    </row>
    <row r="67" spans="2:13" x14ac:dyDescent="0.25">
      <c r="B67" s="478" t="s">
        <v>390</v>
      </c>
      <c r="C67" s="478">
        <f>'Uncertainty Worksheet'!B38</f>
        <v>0</v>
      </c>
      <c r="D67" s="522" t="e">
        <f t="shared" si="8"/>
        <v>#VALUE!</v>
      </c>
      <c r="E67" s="522" t="e">
        <f t="shared" si="9"/>
        <v>#VALUE!</v>
      </c>
      <c r="M67" t="e">
        <f t="shared" si="7"/>
        <v>#DIV/0!</v>
      </c>
    </row>
    <row r="68" spans="2:13" x14ac:dyDescent="0.25">
      <c r="B68" s="478" t="s">
        <v>391</v>
      </c>
      <c r="C68" s="478">
        <f>'Uncertainty Worksheet'!B39</f>
        <v>0</v>
      </c>
      <c r="D68" s="522" t="e">
        <f t="shared" si="8"/>
        <v>#VALUE!</v>
      </c>
      <c r="E68" s="522" t="e">
        <f t="shared" si="9"/>
        <v>#VALUE!</v>
      </c>
      <c r="M68" t="e">
        <f t="shared" si="7"/>
        <v>#DIV/0!</v>
      </c>
    </row>
    <row r="69" spans="2:13" x14ac:dyDescent="0.25">
      <c r="B69" s="478" t="s">
        <v>392</v>
      </c>
      <c r="C69" s="478">
        <f>'Uncertainty Worksheet'!B40</f>
        <v>0</v>
      </c>
      <c r="D69" s="522" t="e">
        <f t="shared" si="8"/>
        <v>#VALUE!</v>
      </c>
      <c r="E69" s="522" t="e">
        <f t="shared" si="9"/>
        <v>#VALUE!</v>
      </c>
      <c r="M69" t="e">
        <f t="shared" si="7"/>
        <v>#DIV/0!</v>
      </c>
    </row>
    <row r="70" spans="2:13" x14ac:dyDescent="0.25">
      <c r="B70" s="478" t="s">
        <v>393</v>
      </c>
      <c r="C70" s="478">
        <f>'Uncertainty Worksheet'!B41</f>
        <v>0</v>
      </c>
      <c r="D70" s="522" t="e">
        <f t="shared" si="8"/>
        <v>#VALUE!</v>
      </c>
      <c r="E70" s="522" t="e">
        <f t="shared" si="9"/>
        <v>#VALUE!</v>
      </c>
      <c r="M70" t="e">
        <f t="shared" si="7"/>
        <v>#DIV/0!</v>
      </c>
    </row>
    <row r="71" spans="2:13" x14ac:dyDescent="0.25">
      <c r="B71" s="478" t="s">
        <v>394</v>
      </c>
      <c r="C71" s="478">
        <f>'Uncertainty Worksheet'!B42</f>
        <v>0</v>
      </c>
      <c r="D71" s="522" t="e">
        <f t="shared" si="8"/>
        <v>#VALUE!</v>
      </c>
      <c r="E71" s="522" t="e">
        <f t="shared" si="9"/>
        <v>#VALUE!</v>
      </c>
      <c r="M71" t="e">
        <f t="shared" si="7"/>
        <v>#DIV/0!</v>
      </c>
    </row>
    <row r="72" spans="2:13" x14ac:dyDescent="0.25">
      <c r="E72" s="590"/>
      <c r="F72" s="590"/>
    </row>
  </sheetData>
  <sheetProtection sheet="1" objects="1" scenarios="1"/>
  <mergeCells count="23">
    <mergeCell ref="E72:F72"/>
    <mergeCell ref="G50:I50"/>
    <mergeCell ref="B42:C42"/>
    <mergeCell ref="D23:J23"/>
    <mergeCell ref="D48:E48"/>
    <mergeCell ref="D49:E49"/>
    <mergeCell ref="B43:C43"/>
    <mergeCell ref="B44:C44"/>
    <mergeCell ref="B45:C45"/>
    <mergeCell ref="B46:C46"/>
    <mergeCell ref="B47:C47"/>
    <mergeCell ref="B48:C48"/>
    <mergeCell ref="A1:J1"/>
    <mergeCell ref="B2:J2"/>
    <mergeCell ref="F3:J3"/>
    <mergeCell ref="D19:F19"/>
    <mergeCell ref="D20:F20"/>
    <mergeCell ref="H20:H22"/>
    <mergeCell ref="D22:F22"/>
    <mergeCell ref="C4:D4"/>
    <mergeCell ref="C5:D5"/>
    <mergeCell ref="F5:G5"/>
    <mergeCell ref="E4:J4"/>
  </mergeCells>
  <phoneticPr fontId="50" type="noConversion"/>
  <dataValidations xWindow="701" yWindow="382" count="6">
    <dataValidation type="list" allowBlank="1" showInputMessage="1" showErrorMessage="1" sqref="J50" xr:uid="{00000000-0002-0000-0200-000001000000}">
      <formula1>$Q$34:$Q$35</formula1>
    </dataValidation>
    <dataValidation type="list" allowBlank="1" showInputMessage="1" showErrorMessage="1" errorTitle="Distribution" error="Cannot select any other value" promptTitle="Distribution" prompt="Select Appropriate Distribution" sqref="D10:D18" xr:uid="{00000000-0002-0000-0200-000000000000}">
      <formula1>$K$1:$K$12</formula1>
    </dataValidation>
    <dataValidation type="list" allowBlank="1" showInputMessage="1" showErrorMessage="1" prompt="Enter Y for correcting for Student's t correction for k=2_x000a_Enter N for calculating Effective degrees of freedom" sqref="E5" xr:uid="{62E4BA6B-74F4-45DF-9F49-79C2E126677E}">
      <formula1>$M$1:$M$2</formula1>
    </dataValidation>
    <dataValidation type="list" allowBlank="1" showInputMessage="1" showErrorMessage="1" prompt="Select Appropriate Distribution" sqref="D9" xr:uid="{3A72F97E-8719-487B-B1C4-711AA819138E}">
      <formula1>$K$1:$K$12</formula1>
    </dataValidation>
    <dataValidation type="list" allowBlank="1" showInputMessage="1" showErrorMessage="1" promptTitle="Select Confidence Interval" prompt="Select Confidence Interval. Default is 95.45%" sqref="F21" xr:uid="{F50AC000-07EB-421B-90E4-DEE4044C985F}">
      <formula1>$N$1:$N$5</formula1>
    </dataValidation>
    <dataValidation type="list" allowBlank="1" showInputMessage="1" showErrorMessage="1" prompt="Select Appropriate Distribution" sqref="D7:D8" xr:uid="{22633700-C3BA-4D36-9A89-08BD63595308}">
      <formula1>$P$1:$P$2</formula1>
    </dataValidation>
  </dataValidations>
  <pageMargins left="0.7" right="0.7" top="0.75" bottom="0.75" header="0.3" footer="0.3"/>
  <pageSetup orientation="portrait" r:id="rId1"/>
  <ignoredErrors>
    <ignoredError sqref="L7 B10:F13 B14:F18 F3 D3 B2:J2 B5:J5 B4:D4 F4:J4 B3:C3 E3 G3:J3 A10:A18" unlockedFormula="1"/>
    <ignoredError sqref="F7:F8 E51:E52" formulaRange="1"/>
    <ignoredError xmlns:x16r3="http://schemas.microsoft.com/office/spreadsheetml/2018/08/main" sqref="E4" unlockedFormula="1" x16r3:misleadingFormat="1"/>
    <ignoredError sqref="D60 D61:D71 E60:E71" evalError="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pageSetUpPr fitToPage="1"/>
  </sheetPr>
  <dimension ref="A1:AC71"/>
  <sheetViews>
    <sheetView topLeftCell="C1" zoomScale="130" zoomScaleNormal="130" workbookViewId="0">
      <selection activeCell="J32" sqref="J32"/>
    </sheetView>
  </sheetViews>
  <sheetFormatPr defaultRowHeight="15" x14ac:dyDescent="0.25"/>
  <cols>
    <col min="1" max="1" width="20.28515625" customWidth="1"/>
    <col min="2" max="2" width="13.5703125" customWidth="1"/>
    <col min="3" max="3" width="20.85546875" customWidth="1"/>
    <col min="4" max="4" width="25.85546875" customWidth="1"/>
    <col min="5" max="5" width="17.85546875" bestFit="1" customWidth="1"/>
    <col min="6" max="6" width="13.7109375" bestFit="1" customWidth="1"/>
    <col min="7" max="7" width="11.42578125" customWidth="1"/>
    <col min="8" max="8" width="11.85546875" customWidth="1"/>
    <col min="9" max="9" width="14.7109375" bestFit="1" customWidth="1"/>
    <col min="10" max="11" width="18.28515625" bestFit="1" customWidth="1"/>
    <col min="12" max="12" width="30.42578125" customWidth="1"/>
    <col min="13" max="13" width="17.140625" customWidth="1"/>
    <col min="14" max="14" width="11.140625" hidden="1" customWidth="1"/>
    <col min="15" max="16" width="13.85546875" hidden="1" customWidth="1"/>
    <col min="17" max="17" width="19.28515625" hidden="1" customWidth="1"/>
    <col min="18" max="19" width="10.85546875" hidden="1" customWidth="1"/>
    <col min="20" max="33" width="10.85546875" customWidth="1"/>
  </cols>
  <sheetData>
    <row r="1" spans="1:22" ht="43.15" customHeight="1" x14ac:dyDescent="0.25">
      <c r="A1" s="148"/>
      <c r="B1" s="149"/>
      <c r="C1" s="734" t="s">
        <v>123</v>
      </c>
      <c r="D1" s="734"/>
      <c r="E1" s="734"/>
      <c r="F1" s="734"/>
      <c r="G1" s="734"/>
      <c r="H1" s="734"/>
      <c r="I1" s="734"/>
      <c r="J1" s="734"/>
      <c r="K1" s="734"/>
      <c r="L1" s="734"/>
      <c r="M1" s="734"/>
      <c r="N1" s="144"/>
      <c r="O1" s="144"/>
      <c r="P1" s="144"/>
      <c r="Q1" s="144"/>
      <c r="R1" s="144"/>
      <c r="S1" s="144" t="s">
        <v>335</v>
      </c>
      <c r="T1" s="144"/>
      <c r="U1" s="144"/>
      <c r="V1" s="145"/>
    </row>
    <row r="2" spans="1:22" ht="18.75" x14ac:dyDescent="0.3">
      <c r="A2" s="732" t="s">
        <v>127</v>
      </c>
      <c r="B2" s="733"/>
      <c r="C2" s="733"/>
      <c r="D2" s="733"/>
      <c r="E2" s="733"/>
      <c r="F2" s="733"/>
      <c r="G2" s="733"/>
      <c r="H2" s="733"/>
      <c r="I2" s="733"/>
      <c r="J2" s="733"/>
      <c r="K2" s="733"/>
      <c r="L2" s="733"/>
      <c r="M2" s="733"/>
      <c r="N2" s="10"/>
      <c r="S2" t="s">
        <v>336</v>
      </c>
    </row>
    <row r="3" spans="1:22" x14ac:dyDescent="0.25">
      <c r="A3" s="1" t="s">
        <v>24</v>
      </c>
      <c r="B3" s="745" t="str">
        <f>'Uncertainty Worksheet'!B48:J48</f>
        <v>Morehouse V 3.31</v>
      </c>
      <c r="C3" s="746"/>
      <c r="D3" s="746"/>
      <c r="E3" s="746"/>
      <c r="F3" s="746"/>
      <c r="G3" s="746"/>
      <c r="H3" s="746"/>
      <c r="I3" s="746"/>
      <c r="J3" s="746"/>
      <c r="K3" s="746"/>
      <c r="L3" s="746"/>
      <c r="M3" s="747"/>
      <c r="N3" s="10"/>
    </row>
    <row r="4" spans="1:22" x14ac:dyDescent="0.25">
      <c r="A4" s="1" t="s">
        <v>25</v>
      </c>
      <c r="B4" s="71" t="str">
        <f>'Uncertainty Worksheet'!B49</f>
        <v>FORCE</v>
      </c>
      <c r="C4" s="254" t="s">
        <v>26</v>
      </c>
      <c r="D4" s="308">
        <f>'Uncertainty Worksheet'!D49</f>
        <v>0</v>
      </c>
      <c r="E4" s="254" t="s">
        <v>27</v>
      </c>
      <c r="F4" s="745" t="str">
        <f>'Uncertainty Worksheet'!F49</f>
        <v>N/A</v>
      </c>
      <c r="G4" s="746"/>
      <c r="H4" s="746"/>
      <c r="I4" s="746"/>
      <c r="J4" s="746"/>
      <c r="K4" s="746"/>
      <c r="L4" s="746"/>
      <c r="M4" s="747"/>
      <c r="N4" s="10"/>
    </row>
    <row r="5" spans="1:22" x14ac:dyDescent="0.25">
      <c r="A5" s="1" t="s">
        <v>28</v>
      </c>
      <c r="B5" s="35"/>
      <c r="C5" s="691" t="s">
        <v>30</v>
      </c>
      <c r="D5" s="739">
        <f>'Uncertainty Worksheet'!B8</f>
        <v>0</v>
      </c>
      <c r="E5" s="740"/>
      <c r="F5" s="740"/>
      <c r="G5" s="740"/>
      <c r="H5" s="740"/>
      <c r="I5" s="740"/>
      <c r="J5" s="740"/>
      <c r="K5" s="740"/>
      <c r="L5" s="740"/>
      <c r="M5" s="741"/>
      <c r="N5" s="9"/>
    </row>
    <row r="6" spans="1:22" ht="15.75" thickBot="1" x14ac:dyDescent="0.3">
      <c r="A6" s="1" t="s">
        <v>29</v>
      </c>
      <c r="B6" s="32">
        <f>'Uncertainty Worksheet'!B51</f>
        <v>0</v>
      </c>
      <c r="C6" s="691"/>
      <c r="D6" s="742"/>
      <c r="E6" s="743"/>
      <c r="F6" s="743"/>
      <c r="G6" s="743"/>
      <c r="H6" s="743"/>
      <c r="I6" s="743"/>
      <c r="J6" s="743"/>
      <c r="K6" s="743"/>
      <c r="L6" s="743"/>
      <c r="M6" s="744"/>
      <c r="N6" s="10"/>
    </row>
    <row r="7" spans="1:22" x14ac:dyDescent="0.25">
      <c r="A7" s="4"/>
      <c r="B7" s="22" t="s">
        <v>42</v>
      </c>
      <c r="C7" s="22" t="s">
        <v>50</v>
      </c>
      <c r="D7" s="22" t="s">
        <v>51</v>
      </c>
      <c r="E7" s="22"/>
      <c r="F7" s="22" t="s">
        <v>34</v>
      </c>
      <c r="G7" s="22" t="s">
        <v>35</v>
      </c>
      <c r="H7" s="478"/>
      <c r="I7" s="478" t="s">
        <v>373</v>
      </c>
      <c r="J7" s="478" t="s">
        <v>65</v>
      </c>
      <c r="K7" s="89" t="s">
        <v>125</v>
      </c>
      <c r="L7" s="85" t="s">
        <v>124</v>
      </c>
      <c r="M7" s="482" t="s">
        <v>346</v>
      </c>
      <c r="O7" s="283" t="s">
        <v>121</v>
      </c>
      <c r="P7" s="284" t="s">
        <v>42</v>
      </c>
      <c r="Q7" s="285" t="s">
        <v>160</v>
      </c>
    </row>
    <row r="8" spans="1:22" x14ac:dyDescent="0.25">
      <c r="A8" s="11">
        <v>1</v>
      </c>
      <c r="B8" s="484">
        <f>IF(M8="N", 'Uncertainty Worksheet'!B69, " ")</f>
        <v>0</v>
      </c>
      <c r="C8" s="485" t="str">
        <f t="shared" ref="C8:C19" si="0">IF(M8="N",Q8," ")</f>
        <v/>
      </c>
      <c r="D8" s="486" t="e">
        <f>IF(M8="N",C8/B8," ")</f>
        <v>#VALUE!</v>
      </c>
      <c r="E8" s="487"/>
      <c r="F8" s="23"/>
      <c r="G8" s="488"/>
      <c r="H8" s="206"/>
      <c r="I8" s="488" t="str" cm="1">
        <f t="array" aca="1" ref="I8:I19" ca="1">_xlfn.BYROW(B8:B19,_xlfn.LAMBDA(_xlpm.force,IFERROR(SUM(_xlpm.force^_xlfn.SEQUENCE(4,1,3,-1)*F28:F31),"")))</f>
        <v/>
      </c>
      <c r="J8" s="489" t="str" cm="1">
        <f t="array" aca="1" ref="J8:J19" ca="1">IFERROR(_xlfn.ANCHORARRAY(I8)-C8:C19,"")</f>
        <v/>
      </c>
      <c r="K8" s="87" t="s">
        <v>126</v>
      </c>
      <c r="L8" s="88"/>
      <c r="M8" s="483" t="s">
        <v>336</v>
      </c>
      <c r="O8" s="280">
        <v>1</v>
      </c>
      <c r="P8" s="282">
        <v>30000</v>
      </c>
      <c r="Q8" s="286" t="str">
        <f>IF('Uncertainty Worksheet'!B31 &gt;0.01,'1'!$G$22,"")</f>
        <v/>
      </c>
    </row>
    <row r="9" spans="1:22" x14ac:dyDescent="0.25">
      <c r="A9" s="11">
        <v>2</v>
      </c>
      <c r="B9" s="484">
        <f>IF(M9="N", 'Uncertainty Worksheet'!B70, " ")</f>
        <v>0</v>
      </c>
      <c r="C9" s="485" t="str">
        <f t="shared" si="0"/>
        <v/>
      </c>
      <c r="D9" s="486" t="e">
        <f t="shared" ref="D9:D19" si="1">IF(M9="N",C9/B9," ")</f>
        <v>#VALUE!</v>
      </c>
      <c r="E9" s="487"/>
      <c r="F9" s="23" t="str">
        <f>IFERROR(IF(M9="N", SLOPE(C8:C9,B8:B9),""),"")</f>
        <v/>
      </c>
      <c r="G9" s="23" t="str">
        <f>IFERROR(IF(M9="N", INTERCEPT(C8:C9,B8:B9),""),"")</f>
        <v/>
      </c>
      <c r="H9" s="23"/>
      <c r="I9" s="23" t="str">
        <f ca="1"/>
        <v/>
      </c>
      <c r="J9" s="490" t="str">
        <f ca="1"/>
        <v/>
      </c>
      <c r="K9" s="86"/>
      <c r="L9" s="26" t="str">
        <f>IF(K9&gt;0.001,((F9*K9)+G9),"")</f>
        <v/>
      </c>
      <c r="M9" s="483" t="s">
        <v>336</v>
      </c>
      <c r="O9" s="280">
        <v>2</v>
      </c>
      <c r="P9" s="282">
        <v>50000</v>
      </c>
      <c r="Q9" s="286" t="str">
        <f>IF('Uncertainty Worksheet'!B32 &gt;0.01,'2'!$G$22,"")</f>
        <v/>
      </c>
    </row>
    <row r="10" spans="1:22" x14ac:dyDescent="0.25">
      <c r="A10" s="11">
        <v>3</v>
      </c>
      <c r="B10" s="484">
        <f>IF(M10="N", 'Uncertainty Worksheet'!B71, " ")</f>
        <v>0</v>
      </c>
      <c r="C10" s="485" t="str">
        <f t="shared" si="0"/>
        <v/>
      </c>
      <c r="D10" s="486" t="e">
        <f t="shared" si="1"/>
        <v>#VALUE!</v>
      </c>
      <c r="E10" s="487"/>
      <c r="F10" s="23" t="str">
        <f t="shared" ref="F10:F19" si="2">IFERROR(IF(M10="N", SLOPE(C9:C10,B9:B10),""),"")</f>
        <v/>
      </c>
      <c r="G10" s="23" t="str">
        <f t="shared" ref="G10:G19" si="3">IFERROR(IF(M10="N", INTERCEPT(C9:C10,B9:B10),""),"")</f>
        <v/>
      </c>
      <c r="H10" s="23"/>
      <c r="I10" s="23" t="str">
        <f ca="1"/>
        <v/>
      </c>
      <c r="J10" s="490" t="str">
        <f ca="1"/>
        <v/>
      </c>
      <c r="K10" s="86"/>
      <c r="L10" s="26" t="str">
        <f t="shared" ref="L10:L19" si="4">IF(K10&gt;0.001,((F10*K10)+G10),"")</f>
        <v/>
      </c>
      <c r="M10" s="483" t="s">
        <v>336</v>
      </c>
      <c r="O10" s="280">
        <v>3</v>
      </c>
      <c r="P10" s="282">
        <v>100000</v>
      </c>
      <c r="Q10" s="286" t="str">
        <f>IF('Uncertainty Worksheet'!B33 &gt;0.01,'3'!$G$22,"")</f>
        <v/>
      </c>
    </row>
    <row r="11" spans="1:22" x14ac:dyDescent="0.25">
      <c r="A11" s="11">
        <v>4</v>
      </c>
      <c r="B11" s="484">
        <f>IF(M11="N", 'Uncertainty Worksheet'!B72, " ")</f>
        <v>0</v>
      </c>
      <c r="C11" s="485" t="str">
        <f t="shared" si="0"/>
        <v/>
      </c>
      <c r="D11" s="486" t="e">
        <f t="shared" si="1"/>
        <v>#VALUE!</v>
      </c>
      <c r="E11" s="487"/>
      <c r="F11" s="23" t="str">
        <f t="shared" si="2"/>
        <v/>
      </c>
      <c r="G11" s="23" t="str">
        <f t="shared" si="3"/>
        <v/>
      </c>
      <c r="H11" s="23"/>
      <c r="I11" s="23" t="str">
        <f ca="1"/>
        <v/>
      </c>
      <c r="J11" s="490" t="str">
        <f ca="1"/>
        <v/>
      </c>
      <c r="K11" s="86"/>
      <c r="L11" s="26" t="str">
        <f t="shared" si="4"/>
        <v/>
      </c>
      <c r="M11" s="483" t="s">
        <v>336</v>
      </c>
      <c r="O11" s="280">
        <v>4</v>
      </c>
      <c r="P11" s="282">
        <v>200000</v>
      </c>
      <c r="Q11" s="286" t="str">
        <f>IF('Uncertainty Worksheet'!B34 &gt;0.01,'4'!$G$22,"")</f>
        <v/>
      </c>
    </row>
    <row r="12" spans="1:22" x14ac:dyDescent="0.25">
      <c r="A12" s="11">
        <v>5</v>
      </c>
      <c r="B12" s="484">
        <f>IF(M12="N", 'Uncertainty Worksheet'!B73, " ")</f>
        <v>0</v>
      </c>
      <c r="C12" s="485" t="str">
        <f t="shared" si="0"/>
        <v/>
      </c>
      <c r="D12" s="486" t="e">
        <f t="shared" si="1"/>
        <v>#VALUE!</v>
      </c>
      <c r="E12" s="487"/>
      <c r="F12" s="23" t="str">
        <f t="shared" si="2"/>
        <v/>
      </c>
      <c r="G12" s="23" t="str">
        <f t="shared" si="3"/>
        <v/>
      </c>
      <c r="H12" s="23"/>
      <c r="I12" s="23" t="str">
        <f ca="1"/>
        <v/>
      </c>
      <c r="J12" s="490" t="str">
        <f ca="1"/>
        <v/>
      </c>
      <c r="K12" s="86"/>
      <c r="L12" s="26" t="str">
        <f t="shared" si="4"/>
        <v/>
      </c>
      <c r="M12" s="483" t="s">
        <v>336</v>
      </c>
      <c r="O12" s="280">
        <v>5</v>
      </c>
      <c r="P12" s="282">
        <v>300000</v>
      </c>
      <c r="Q12" s="286" t="str">
        <f>IF('Uncertainty Worksheet'!B35 &gt;0.01,'5'!$G$22,"")</f>
        <v/>
      </c>
    </row>
    <row r="13" spans="1:22" x14ac:dyDescent="0.25">
      <c r="A13" s="11">
        <v>6</v>
      </c>
      <c r="B13" s="484">
        <f>IF(M13="N", 'Uncertainty Worksheet'!B74, " ")</f>
        <v>0</v>
      </c>
      <c r="C13" s="485" t="str">
        <f t="shared" si="0"/>
        <v/>
      </c>
      <c r="D13" s="486" t="e">
        <f t="shared" si="1"/>
        <v>#VALUE!</v>
      </c>
      <c r="E13" s="487"/>
      <c r="F13" s="23" t="str">
        <f t="shared" si="2"/>
        <v/>
      </c>
      <c r="G13" s="23" t="str">
        <f t="shared" si="3"/>
        <v/>
      </c>
      <c r="H13" s="23"/>
      <c r="I13" s="23" t="str">
        <f ca="1"/>
        <v/>
      </c>
      <c r="J13" s="490" t="str">
        <f ca="1"/>
        <v/>
      </c>
      <c r="K13" s="86"/>
      <c r="L13" s="26" t="str">
        <f t="shared" si="4"/>
        <v/>
      </c>
      <c r="M13" s="483" t="s">
        <v>336</v>
      </c>
      <c r="O13" s="280">
        <v>6</v>
      </c>
      <c r="P13" s="282">
        <v>400000</v>
      </c>
      <c r="Q13" s="286" t="str">
        <f>IF('Uncertainty Worksheet'!B36 &gt;0.01,'6'!$G$22,"")</f>
        <v/>
      </c>
    </row>
    <row r="14" spans="1:22" x14ac:dyDescent="0.25">
      <c r="A14" s="11">
        <v>7</v>
      </c>
      <c r="B14" s="484">
        <f>IF(M14="N", 'Uncertainty Worksheet'!B75, " ")</f>
        <v>0</v>
      </c>
      <c r="C14" s="485" t="str">
        <f t="shared" si="0"/>
        <v/>
      </c>
      <c r="D14" s="486" t="e">
        <f t="shared" si="1"/>
        <v>#VALUE!</v>
      </c>
      <c r="E14" s="487"/>
      <c r="F14" s="23" t="str">
        <f t="shared" si="2"/>
        <v/>
      </c>
      <c r="G14" s="23" t="str">
        <f t="shared" si="3"/>
        <v/>
      </c>
      <c r="H14" s="23"/>
      <c r="I14" s="23" t="str">
        <f ca="1"/>
        <v/>
      </c>
      <c r="J14" s="490" t="str">
        <f ca="1"/>
        <v/>
      </c>
      <c r="K14" s="86"/>
      <c r="L14" s="26" t="str">
        <f t="shared" si="4"/>
        <v/>
      </c>
      <c r="M14" s="483" t="s">
        <v>336</v>
      </c>
      <c r="O14" s="280">
        <v>7</v>
      </c>
      <c r="P14" s="282">
        <v>500000</v>
      </c>
      <c r="Q14" s="286" t="str">
        <f>IF('Uncertainty Worksheet'!B37 &gt;0.01,'7'!$G$22,"")</f>
        <v/>
      </c>
    </row>
    <row r="15" spans="1:22" x14ac:dyDescent="0.25">
      <c r="A15" s="11">
        <v>8</v>
      </c>
      <c r="B15" s="484">
        <f>IF(M15="N", 'Uncertainty Worksheet'!B76, " ")</f>
        <v>0</v>
      </c>
      <c r="C15" s="485" t="str">
        <f t="shared" si="0"/>
        <v/>
      </c>
      <c r="D15" s="486" t="e">
        <f t="shared" si="1"/>
        <v>#VALUE!</v>
      </c>
      <c r="E15" s="206"/>
      <c r="F15" s="23" t="str">
        <f t="shared" si="2"/>
        <v/>
      </c>
      <c r="G15" s="23" t="str">
        <f t="shared" si="3"/>
        <v/>
      </c>
      <c r="H15" s="23"/>
      <c r="I15" s="23" t="str">
        <f ca="1"/>
        <v/>
      </c>
      <c r="J15" s="490" t="str">
        <f ca="1"/>
        <v/>
      </c>
      <c r="K15" s="86"/>
      <c r="L15" s="26" t="str">
        <f t="shared" si="4"/>
        <v/>
      </c>
      <c r="M15" s="483" t="s">
        <v>336</v>
      </c>
      <c r="O15" s="280">
        <v>8</v>
      </c>
      <c r="P15" s="282">
        <v>600000</v>
      </c>
      <c r="Q15" s="286" t="str">
        <f>IF('Uncertainty Worksheet'!B38 &gt;0.01,'8'!$G$22,"")</f>
        <v/>
      </c>
    </row>
    <row r="16" spans="1:22" x14ac:dyDescent="0.25">
      <c r="A16" s="11">
        <v>9</v>
      </c>
      <c r="B16" s="484">
        <f>IF(M16="N", 'Uncertainty Worksheet'!B77, " ")</f>
        <v>0</v>
      </c>
      <c r="C16" s="485" t="str">
        <f t="shared" si="0"/>
        <v/>
      </c>
      <c r="D16" s="486" t="e">
        <f t="shared" si="1"/>
        <v>#VALUE!</v>
      </c>
      <c r="E16" s="206"/>
      <c r="F16" s="23" t="str">
        <f t="shared" si="2"/>
        <v/>
      </c>
      <c r="G16" s="23" t="str">
        <f t="shared" si="3"/>
        <v/>
      </c>
      <c r="H16" s="23"/>
      <c r="I16" s="23" t="str">
        <f ca="1"/>
        <v/>
      </c>
      <c r="J16" s="490" t="str">
        <f ca="1"/>
        <v/>
      </c>
      <c r="K16" s="86"/>
      <c r="L16" s="26" t="str">
        <f t="shared" si="4"/>
        <v/>
      </c>
      <c r="M16" s="483" t="s">
        <v>336</v>
      </c>
      <c r="O16" s="280">
        <v>9</v>
      </c>
      <c r="P16" s="282">
        <v>700000</v>
      </c>
      <c r="Q16" s="286" t="str">
        <f>IF('Uncertainty Worksheet'!B39 &gt;0.01,'9'!$G$22,"")</f>
        <v/>
      </c>
    </row>
    <row r="17" spans="1:17" x14ac:dyDescent="0.25">
      <c r="A17" s="11">
        <v>10</v>
      </c>
      <c r="B17" s="484">
        <f>IF(M17="N", 'Uncertainty Worksheet'!B78, " ")</f>
        <v>0</v>
      </c>
      <c r="C17" s="485" t="str">
        <f t="shared" si="0"/>
        <v/>
      </c>
      <c r="D17" s="486" t="e">
        <f t="shared" si="1"/>
        <v>#VALUE!</v>
      </c>
      <c r="E17" s="206"/>
      <c r="F17" s="23" t="str">
        <f t="shared" si="2"/>
        <v/>
      </c>
      <c r="G17" s="23" t="str">
        <f t="shared" si="3"/>
        <v/>
      </c>
      <c r="H17" s="23"/>
      <c r="I17" s="23" t="str">
        <f ca="1"/>
        <v/>
      </c>
      <c r="J17" s="490" t="str">
        <f ca="1"/>
        <v/>
      </c>
      <c r="K17" s="86"/>
      <c r="L17" s="26" t="str">
        <f t="shared" si="4"/>
        <v/>
      </c>
      <c r="M17" s="483" t="s">
        <v>336</v>
      </c>
      <c r="O17" s="280">
        <v>10</v>
      </c>
      <c r="P17" s="282">
        <v>800000</v>
      </c>
      <c r="Q17" s="286" t="str">
        <f>IF('Uncertainty Worksheet'!B40 &gt;0.01,'10'!$G$22,"")</f>
        <v/>
      </c>
    </row>
    <row r="18" spans="1:17" x14ac:dyDescent="0.25">
      <c r="A18" s="11">
        <v>11</v>
      </c>
      <c r="B18" s="484">
        <f>IF(M18="N", 'Uncertainty Worksheet'!B79, " ")</f>
        <v>0</v>
      </c>
      <c r="C18" s="485" t="str">
        <f t="shared" si="0"/>
        <v/>
      </c>
      <c r="D18" s="486" t="e">
        <f t="shared" si="1"/>
        <v>#VALUE!</v>
      </c>
      <c r="E18" s="206"/>
      <c r="F18" s="23" t="str">
        <f t="shared" si="2"/>
        <v/>
      </c>
      <c r="G18" s="23" t="str">
        <f t="shared" si="3"/>
        <v/>
      </c>
      <c r="H18" s="23"/>
      <c r="I18" s="23" t="str">
        <f ca="1"/>
        <v/>
      </c>
      <c r="J18" s="490" t="str">
        <f ca="1"/>
        <v/>
      </c>
      <c r="K18" s="86"/>
      <c r="L18" s="26" t="str">
        <f t="shared" si="4"/>
        <v/>
      </c>
      <c r="M18" s="483" t="s">
        <v>336</v>
      </c>
      <c r="O18" s="280">
        <v>11</v>
      </c>
      <c r="P18" s="282">
        <v>900000</v>
      </c>
      <c r="Q18" s="286" t="str">
        <f>IF('Uncertainty Worksheet'!B41 &gt;0.01,'11'!$G$22,"")</f>
        <v/>
      </c>
    </row>
    <row r="19" spans="1:17" ht="15.75" thickBot="1" x14ac:dyDescent="0.3">
      <c r="A19" s="11">
        <v>12</v>
      </c>
      <c r="B19" s="484">
        <f>IF(M19="N", 'Uncertainty Worksheet'!B80, " ")</f>
        <v>0</v>
      </c>
      <c r="C19" s="485" t="str">
        <f t="shared" si="0"/>
        <v/>
      </c>
      <c r="D19" s="486" t="e">
        <f t="shared" si="1"/>
        <v>#VALUE!</v>
      </c>
      <c r="E19" s="487"/>
      <c r="F19" s="23" t="str">
        <f t="shared" si="2"/>
        <v/>
      </c>
      <c r="G19" s="23" t="str">
        <f t="shared" si="3"/>
        <v/>
      </c>
      <c r="H19" s="23"/>
      <c r="I19" s="23" t="str">
        <f ca="1"/>
        <v/>
      </c>
      <c r="J19" s="490" t="str">
        <f ca="1"/>
        <v/>
      </c>
      <c r="K19" s="86"/>
      <c r="L19" s="26" t="str">
        <f t="shared" si="4"/>
        <v/>
      </c>
      <c r="M19" s="483" t="s">
        <v>336</v>
      </c>
      <c r="O19" s="281">
        <v>12</v>
      </c>
      <c r="P19" s="287">
        <v>1000000</v>
      </c>
      <c r="Q19" s="288" t="str">
        <f>IF('Uncertainty Worksheet'!B42 &gt;0.01,'12'!$G$22,"")</f>
        <v/>
      </c>
    </row>
    <row r="20" spans="1:17" x14ac:dyDescent="0.25">
      <c r="I20" s="491" t="s">
        <v>374</v>
      </c>
      <c r="J20" s="491">
        <f ca="1">MAX(_xlfn.ANCHORARRAY(J8))</f>
        <v>0</v>
      </c>
    </row>
    <row r="21" spans="1:17" ht="15.75" x14ac:dyDescent="0.25">
      <c r="A21" t="s">
        <v>128</v>
      </c>
      <c r="J21" s="266" t="str" cm="1">
        <f t="array" aca="1" ref="J21" ca="1">IF(OR(_xlfn.ANCHORARRAY(J8)&lt;-0.00000000001),"REPORTED UNCERTAINTY LOWER THAN CALCULATED","")</f>
        <v/>
      </c>
    </row>
    <row r="24" spans="1:17" x14ac:dyDescent="0.25">
      <c r="A24" t="s">
        <v>122</v>
      </c>
    </row>
    <row r="25" spans="1:17" ht="15.75" x14ac:dyDescent="0.25">
      <c r="E25" t="s">
        <v>372</v>
      </c>
      <c r="F25">
        <v>1</v>
      </c>
      <c r="G25" s="266" t="s">
        <v>375</v>
      </c>
    </row>
    <row r="26" spans="1:17" ht="15" customHeight="1" x14ac:dyDescent="0.25">
      <c r="E26" s="735" t="s">
        <v>169</v>
      </c>
      <c r="F26" s="736"/>
    </row>
    <row r="27" spans="1:17" x14ac:dyDescent="0.25">
      <c r="E27" s="737"/>
      <c r="F27" s="738"/>
    </row>
    <row r="28" spans="1:17" x14ac:dyDescent="0.25">
      <c r="E28" s="161" t="s">
        <v>166</v>
      </c>
      <c r="F28" s="23">
        <f ca="1">IF($F$25-6+ROW(A3)&lt;0,0,OFFSET($K$57,$F$25-6+ROW(A3),0))</f>
        <v>0</v>
      </c>
    </row>
    <row r="29" spans="1:17" x14ac:dyDescent="0.25">
      <c r="E29" s="161" t="s">
        <v>165</v>
      </c>
      <c r="F29" s="23">
        <f ca="1">IF($F$25-6+ROW(A4)&lt;0,0,OFFSET($K$57,$F$25-6+ROW(A4),0))</f>
        <v>0</v>
      </c>
    </row>
    <row r="30" spans="1:17" x14ac:dyDescent="0.25">
      <c r="E30" s="161" t="s">
        <v>168</v>
      </c>
      <c r="F30" s="23" t="e">
        <f ca="1">IF($F$25-6+ROW(A5)&lt;0,0,OFFSET($K$57,$F$25-6+ROW(A5),0))</f>
        <v>#VALUE!</v>
      </c>
    </row>
    <row r="31" spans="1:17" x14ac:dyDescent="0.25">
      <c r="E31" s="161" t="s">
        <v>167</v>
      </c>
      <c r="F31" s="23">
        <f ca="1">IF($F$25-6+ROW(A6)&lt;0,0,OFFSET($K$57,$F$25-6+ROW(A6),0))</f>
        <v>0</v>
      </c>
    </row>
    <row r="35" spans="1:29" x14ac:dyDescent="0.25">
      <c r="E35" s="480"/>
    </row>
    <row r="40" spans="1:29" ht="15.75" thickBot="1" x14ac:dyDescent="0.3">
      <c r="A40" s="37"/>
    </row>
    <row r="41" spans="1:29" ht="15.75" thickBot="1" x14ac:dyDescent="0.3">
      <c r="V41" s="319" t="s">
        <v>371</v>
      </c>
      <c r="W41" s="291" t="s">
        <v>65</v>
      </c>
      <c r="X41" s="291" t="s">
        <v>380</v>
      </c>
      <c r="Y41" s="291" t="s">
        <v>65</v>
      </c>
      <c r="Z41" s="291" t="s">
        <v>381</v>
      </c>
      <c r="AA41" s="291" t="s">
        <v>65</v>
      </c>
      <c r="AB41" s="291" t="s">
        <v>382</v>
      </c>
      <c r="AC41" s="320" t="s">
        <v>65</v>
      </c>
    </row>
    <row r="42" spans="1:29" ht="21.75" thickBot="1" x14ac:dyDescent="0.3">
      <c r="C42" s="290" t="s">
        <v>42</v>
      </c>
      <c r="D42" s="298" t="s">
        <v>370</v>
      </c>
      <c r="E42" s="307" t="s">
        <v>399</v>
      </c>
      <c r="F42" s="306" t="s">
        <v>65</v>
      </c>
      <c r="I42" s="729" t="s">
        <v>321</v>
      </c>
      <c r="J42" s="730"/>
      <c r="K42" s="730"/>
      <c r="L42" s="730"/>
      <c r="M42" s="731"/>
      <c r="V42" s="294" t="e" cm="1">
        <f t="array" ref="V42:V53">_xlfn.BYROW(_xlfn.ANCHORARRAY(C43),_xlfn.LAMBDA(_xlpm.force,SUM(_xlpm.force^_xlfn.SEQUENCE($F$25+1,1,$F$25,-1)*_xlfn.ANCHORARRAY($C$57))))</f>
        <v>#VALUE!</v>
      </c>
      <c r="W42" s="45" t="e" cm="1">
        <f t="array" ref="W42:W53">_xlfn.ANCHORARRAY(V42)-_xlfn.ANCHORARRAY(D43)</f>
        <v>#VALUE!</v>
      </c>
      <c r="X42" s="34" t="e" cm="1">
        <f t="array" aca="1" ref="X42:X53" ca="1">_xlfn.BYROW(_xlfn.ANCHORARRAY($C$43),_xlfn.LAMBDA(_xlpm.force,SUM(_xlpm.force^_xlfn.SEQUENCE($F$25+1,1,$F$25,-1)*E57:OFFSET(E57,$F$25,0))))</f>
        <v>#VALUE!</v>
      </c>
      <c r="Y42" s="45" t="e" cm="1">
        <f t="array" aca="1" ref="Y42:Y53" ca="1">_xlfn.ANCHORARRAY(X42)-_xlfn.ANCHORARRAY($D$43)</f>
        <v>#VALUE!</v>
      </c>
      <c r="Z42" s="34" t="e" cm="1">
        <f t="array" aca="1" ref="Z42:Z53" ca="1">_xlfn.BYROW(_xlfn.ANCHORARRAY($C$43),_xlfn.LAMBDA(_xlpm.force,SUM(_xlpm.force^_xlfn.SEQUENCE($F$25+1,1,$F$25,-1)*G57:OFFSET(G57,$F$25,0))))</f>
        <v>#N/A</v>
      </c>
      <c r="AA42" s="45" t="e" cm="1">
        <f t="array" aca="1" ref="AA42:AA53" ca="1">_xlfn.ANCHORARRAY(Z42)-_xlfn.ANCHORARRAY($D$43)</f>
        <v>#N/A</v>
      </c>
      <c r="AB42" s="34" t="e" cm="1">
        <f t="array" aca="1" ref="AB42:AB53" ca="1">_xlfn.BYROW(_xlfn.ANCHORARRAY($C$43),_xlfn.LAMBDA(_xlpm.force,SUM(_xlpm.force^_xlfn.SEQUENCE($F$25+1,1,$F$25,-1)*I57:OFFSET(I57,$F$25,0))))</f>
        <v>#VALUE!</v>
      </c>
      <c r="AC42" s="321" t="e" cm="1">
        <f t="array" aca="1" ref="AC42:AC53" ca="1">_xlfn.ANCHORARRAY(AB42)-_xlfn.ANCHORARRAY($D$43)</f>
        <v>#VALUE!</v>
      </c>
    </row>
    <row r="43" spans="1:29" x14ac:dyDescent="0.25">
      <c r="C43" s="293" cm="1">
        <f t="array" ref="C43:C54">_xlfn._xlws.FILTER(B8:B19,IF($M$8:$M$19="N",TRUE,FALSE))</f>
        <v>0</v>
      </c>
      <c r="D43" s="310" t="str" cm="1">
        <f t="array" ref="D43:D54">_xlfn._xlws.FILTER(C8:C19,IF($M$8:$M$19="N",TRUE,FALSE))</f>
        <v/>
      </c>
      <c r="E43" s="301" t="e" cm="1">
        <f t="array" aca="1" ref="E43:E54" ca="1">_xlfn.BYROW(_xlfn.ANCHORARRAY($C$43),_xlfn.LAMBDA(_xlpm.force,SUM(_xlpm.force^_xlfn.SEQUENCE($F$25+1,1,$F$25,-1)*K57:OFFSET(K57,$F$25,0))))</f>
        <v>#VALUE!</v>
      </c>
      <c r="F43" s="302" t="e" cm="1">
        <f t="array" aca="1" ref="F43:F54" ca="1">_xlfn.ANCHORARRAY(E43)-_xlfn.ANCHORARRAY($D$43)</f>
        <v>#VALUE!</v>
      </c>
      <c r="I43" s="279" t="s">
        <v>121</v>
      </c>
      <c r="J43" s="273" t="s">
        <v>42</v>
      </c>
      <c r="K43" s="274" t="s">
        <v>142</v>
      </c>
      <c r="L43" s="275" t="s">
        <v>376</v>
      </c>
      <c r="M43" s="276" t="s">
        <v>377</v>
      </c>
      <c r="V43" s="294" t="e">
        <v>#VALUE!</v>
      </c>
      <c r="W43" s="45" t="e">
        <v>#VALUE!</v>
      </c>
      <c r="X43" s="34" t="e">
        <f ca="1"/>
        <v>#VALUE!</v>
      </c>
      <c r="Y43" s="45" t="e">
        <f ca="1"/>
        <v>#VALUE!</v>
      </c>
      <c r="Z43" s="34" t="e">
        <f ca="1"/>
        <v>#N/A</v>
      </c>
      <c r="AA43" s="34" t="e">
        <f ca="1"/>
        <v>#N/A</v>
      </c>
      <c r="AB43" s="34" t="e">
        <f ca="1"/>
        <v>#VALUE!</v>
      </c>
      <c r="AC43" s="322" t="e">
        <f ca="1"/>
        <v>#VALUE!</v>
      </c>
    </row>
    <row r="44" spans="1:29" x14ac:dyDescent="0.25">
      <c r="C44" s="294">
        <v>0</v>
      </c>
      <c r="D44" s="299" t="str">
        <v/>
      </c>
      <c r="E44" s="301" t="e">
        <f ca="1"/>
        <v>#VALUE!</v>
      </c>
      <c r="F44" s="303" t="e">
        <f ca="1"/>
        <v>#VALUE!</v>
      </c>
      <c r="I44" s="280">
        <v>1</v>
      </c>
      <c r="J44" s="289" cm="1">
        <f t="array" ref="J44:J55">_xlfn.ANCHORARRAY(C43)</f>
        <v>0</v>
      </c>
      <c r="K44" s="267" t="e" cm="1">
        <f t="array" aca="1" ref="K44:K55" ca="1">_xlfn.ANCHORARRAY(E43)/_xlfn.ANCHORARRAY(J44)</f>
        <v>#VALUE!</v>
      </c>
      <c r="L44" s="271" t="e" cm="1">
        <f t="array" aca="1" ref="L44:L55" ca="1">ROUND(_xlfn.ANCHORARRAY(E43),2)</f>
        <v>#VALUE!</v>
      </c>
      <c r="M44" s="277" t="e" cm="1">
        <f t="array" ref="M44:M55">_xlfn.ANCHORARRAY(D43)/_xlfn.ANCHORARRAY(C43)</f>
        <v>#VALUE!</v>
      </c>
      <c r="V44" s="294" t="e">
        <v>#VALUE!</v>
      </c>
      <c r="W44" s="45" t="e">
        <v>#VALUE!</v>
      </c>
      <c r="X44" s="34" t="e">
        <f ca="1"/>
        <v>#VALUE!</v>
      </c>
      <c r="Y44" s="45" t="e">
        <f ca="1"/>
        <v>#VALUE!</v>
      </c>
      <c r="Z44" s="34" t="e">
        <f ca="1"/>
        <v>#N/A</v>
      </c>
      <c r="AA44" s="34" t="e">
        <f ca="1"/>
        <v>#N/A</v>
      </c>
      <c r="AB44" s="34" t="e">
        <f ca="1"/>
        <v>#VALUE!</v>
      </c>
      <c r="AC44" s="322" t="e">
        <f ca="1"/>
        <v>#VALUE!</v>
      </c>
    </row>
    <row r="45" spans="1:29" x14ac:dyDescent="0.25">
      <c r="C45" s="294">
        <v>0</v>
      </c>
      <c r="D45" s="299" t="str">
        <v/>
      </c>
      <c r="E45" s="301" t="e">
        <f ca="1"/>
        <v>#VALUE!</v>
      </c>
      <c r="F45" s="303" t="e">
        <f ca="1"/>
        <v>#VALUE!</v>
      </c>
      <c r="I45" s="280">
        <v>2</v>
      </c>
      <c r="J45" s="268">
        <v>0</v>
      </c>
      <c r="K45" s="267" t="e">
        <f ca="1"/>
        <v>#VALUE!</v>
      </c>
      <c r="L45" s="271" t="e">
        <f ca="1"/>
        <v>#VALUE!</v>
      </c>
      <c r="M45" s="277" t="e">
        <v>#VALUE!</v>
      </c>
      <c r="V45" s="294" t="e">
        <v>#VALUE!</v>
      </c>
      <c r="W45" s="45" t="e">
        <v>#VALUE!</v>
      </c>
      <c r="X45" s="34" t="e">
        <f ca="1"/>
        <v>#VALUE!</v>
      </c>
      <c r="Y45" s="45" t="e">
        <f ca="1"/>
        <v>#VALUE!</v>
      </c>
      <c r="Z45" s="34" t="e">
        <f ca="1"/>
        <v>#N/A</v>
      </c>
      <c r="AA45" s="34" t="e">
        <f ca="1"/>
        <v>#N/A</v>
      </c>
      <c r="AB45" s="34" t="e">
        <f ca="1"/>
        <v>#VALUE!</v>
      </c>
      <c r="AC45" s="322" t="e">
        <f ca="1"/>
        <v>#VALUE!</v>
      </c>
    </row>
    <row r="46" spans="1:29" x14ac:dyDescent="0.25">
      <c r="C46" s="294">
        <v>0</v>
      </c>
      <c r="D46" s="299" t="str">
        <v/>
      </c>
      <c r="E46" s="301" t="e">
        <f ca="1"/>
        <v>#VALUE!</v>
      </c>
      <c r="F46" s="303" t="e">
        <f ca="1"/>
        <v>#VALUE!</v>
      </c>
      <c r="I46" s="280">
        <v>3</v>
      </c>
      <c r="J46" s="268">
        <v>0</v>
      </c>
      <c r="K46" s="267" t="e">
        <f ca="1"/>
        <v>#VALUE!</v>
      </c>
      <c r="L46" s="271" t="e">
        <f ca="1"/>
        <v>#VALUE!</v>
      </c>
      <c r="M46" s="277" t="e">
        <v>#VALUE!</v>
      </c>
      <c r="V46" s="294" t="e">
        <v>#VALUE!</v>
      </c>
      <c r="W46" s="45" t="e">
        <v>#VALUE!</v>
      </c>
      <c r="X46" s="34" t="e">
        <f ca="1"/>
        <v>#VALUE!</v>
      </c>
      <c r="Y46" s="45" t="e">
        <f ca="1"/>
        <v>#VALUE!</v>
      </c>
      <c r="Z46" s="34" t="e">
        <f ca="1"/>
        <v>#N/A</v>
      </c>
      <c r="AA46" s="34" t="e">
        <f ca="1"/>
        <v>#N/A</v>
      </c>
      <c r="AB46" s="34" t="e">
        <f ca="1"/>
        <v>#VALUE!</v>
      </c>
      <c r="AC46" s="322" t="e">
        <f ca="1"/>
        <v>#VALUE!</v>
      </c>
    </row>
    <row r="47" spans="1:29" x14ac:dyDescent="0.25">
      <c r="C47" s="294">
        <v>0</v>
      </c>
      <c r="D47" s="299" t="str">
        <v/>
      </c>
      <c r="E47" s="301" t="e">
        <f ca="1"/>
        <v>#VALUE!</v>
      </c>
      <c r="F47" s="303" t="e">
        <f ca="1"/>
        <v>#VALUE!</v>
      </c>
      <c r="I47" s="280">
        <v>4</v>
      </c>
      <c r="J47" s="268">
        <v>0</v>
      </c>
      <c r="K47" s="267" t="e">
        <f ca="1"/>
        <v>#VALUE!</v>
      </c>
      <c r="L47" s="271" t="e">
        <f ca="1"/>
        <v>#VALUE!</v>
      </c>
      <c r="M47" s="277" t="e">
        <v>#VALUE!</v>
      </c>
      <c r="V47" s="294" t="e">
        <v>#VALUE!</v>
      </c>
      <c r="W47" s="45" t="e">
        <v>#VALUE!</v>
      </c>
      <c r="X47" s="34" t="e">
        <f ca="1"/>
        <v>#VALUE!</v>
      </c>
      <c r="Y47" s="45" t="e">
        <f ca="1"/>
        <v>#VALUE!</v>
      </c>
      <c r="Z47" s="34" t="e">
        <f ca="1"/>
        <v>#N/A</v>
      </c>
      <c r="AA47" s="34" t="e">
        <f ca="1"/>
        <v>#N/A</v>
      </c>
      <c r="AB47" s="34" t="e">
        <f ca="1"/>
        <v>#VALUE!</v>
      </c>
      <c r="AC47" s="322" t="e">
        <f ca="1"/>
        <v>#VALUE!</v>
      </c>
    </row>
    <row r="48" spans="1:29" x14ac:dyDescent="0.25">
      <c r="C48" s="294">
        <v>0</v>
      </c>
      <c r="D48" s="299" t="str">
        <v/>
      </c>
      <c r="E48" s="301" t="e">
        <f ca="1"/>
        <v>#VALUE!</v>
      </c>
      <c r="F48" s="303" t="e">
        <f ca="1"/>
        <v>#VALUE!</v>
      </c>
      <c r="I48" s="280">
        <v>5</v>
      </c>
      <c r="J48" s="268">
        <v>0</v>
      </c>
      <c r="K48" s="267" t="e">
        <f ca="1"/>
        <v>#VALUE!</v>
      </c>
      <c r="L48" s="271" t="e">
        <f ca="1"/>
        <v>#VALUE!</v>
      </c>
      <c r="M48" s="277" t="e">
        <v>#VALUE!</v>
      </c>
      <c r="V48" s="294" t="e">
        <v>#VALUE!</v>
      </c>
      <c r="W48" s="45" t="e">
        <v>#VALUE!</v>
      </c>
      <c r="X48" s="34" t="e">
        <f ca="1"/>
        <v>#VALUE!</v>
      </c>
      <c r="Y48" s="45" t="e">
        <f ca="1"/>
        <v>#VALUE!</v>
      </c>
      <c r="Z48" s="34" t="e">
        <f ca="1"/>
        <v>#N/A</v>
      </c>
      <c r="AA48" s="34" t="e">
        <f ca="1"/>
        <v>#N/A</v>
      </c>
      <c r="AB48" s="34" t="e">
        <f ca="1"/>
        <v>#VALUE!</v>
      </c>
      <c r="AC48" s="322" t="e">
        <f ca="1"/>
        <v>#VALUE!</v>
      </c>
    </row>
    <row r="49" spans="1:29" x14ac:dyDescent="0.25">
      <c r="C49" s="294">
        <v>0</v>
      </c>
      <c r="D49" s="299" t="str">
        <v/>
      </c>
      <c r="E49" s="301" t="e">
        <f ca="1"/>
        <v>#VALUE!</v>
      </c>
      <c r="F49" s="312" t="e">
        <f ca="1"/>
        <v>#VALUE!</v>
      </c>
      <c r="I49" s="280">
        <v>6</v>
      </c>
      <c r="J49" s="268">
        <v>0</v>
      </c>
      <c r="K49" s="267" t="e">
        <f ca="1"/>
        <v>#VALUE!</v>
      </c>
      <c r="L49" s="271" t="e">
        <f ca="1"/>
        <v>#VALUE!</v>
      </c>
      <c r="M49" s="277" t="e">
        <v>#VALUE!</v>
      </c>
      <c r="V49" s="294" t="e">
        <v>#VALUE!</v>
      </c>
      <c r="W49" s="45" t="e">
        <v>#VALUE!</v>
      </c>
      <c r="X49" s="34" t="e">
        <f ca="1"/>
        <v>#VALUE!</v>
      </c>
      <c r="Y49" s="45" t="e">
        <f ca="1"/>
        <v>#VALUE!</v>
      </c>
      <c r="Z49" s="34" t="e">
        <f ca="1"/>
        <v>#N/A</v>
      </c>
      <c r="AA49" s="34" t="e">
        <f ca="1"/>
        <v>#N/A</v>
      </c>
      <c r="AB49" s="34" t="e">
        <f ca="1"/>
        <v>#VALUE!</v>
      </c>
      <c r="AC49" s="322" t="e">
        <f ca="1"/>
        <v>#VALUE!</v>
      </c>
    </row>
    <row r="50" spans="1:29" x14ac:dyDescent="0.25">
      <c r="C50" s="294">
        <v>0</v>
      </c>
      <c r="D50" s="299" t="str">
        <v/>
      </c>
      <c r="E50" s="301" t="e">
        <f ca="1"/>
        <v>#VALUE!</v>
      </c>
      <c r="F50" s="303" t="e">
        <f ca="1"/>
        <v>#VALUE!</v>
      </c>
      <c r="I50" s="280">
        <v>7</v>
      </c>
      <c r="J50" s="268">
        <v>0</v>
      </c>
      <c r="K50" s="267" t="e">
        <f ca="1"/>
        <v>#VALUE!</v>
      </c>
      <c r="L50" s="271" t="e">
        <f ca="1"/>
        <v>#VALUE!</v>
      </c>
      <c r="M50" s="277" t="e">
        <v>#VALUE!</v>
      </c>
      <c r="V50" s="294" t="e">
        <v>#VALUE!</v>
      </c>
      <c r="W50" s="45" t="e">
        <v>#VALUE!</v>
      </c>
      <c r="X50" s="34" t="e">
        <f ca="1"/>
        <v>#VALUE!</v>
      </c>
      <c r="Y50" s="45" t="e">
        <f ca="1"/>
        <v>#VALUE!</v>
      </c>
      <c r="Z50" s="34" t="e">
        <f ca="1"/>
        <v>#N/A</v>
      </c>
      <c r="AA50" s="34" t="e">
        <f ca="1"/>
        <v>#N/A</v>
      </c>
      <c r="AB50" s="34" t="e">
        <f ca="1"/>
        <v>#VALUE!</v>
      </c>
      <c r="AC50" s="322" t="e">
        <f ca="1"/>
        <v>#VALUE!</v>
      </c>
    </row>
    <row r="51" spans="1:29" x14ac:dyDescent="0.25">
      <c r="C51" s="294">
        <v>0</v>
      </c>
      <c r="D51" s="299" t="str">
        <v/>
      </c>
      <c r="E51" s="301" t="e">
        <f ca="1"/>
        <v>#VALUE!</v>
      </c>
      <c r="F51" s="303" t="e">
        <f ca="1"/>
        <v>#VALUE!</v>
      </c>
      <c r="I51" s="280">
        <v>8</v>
      </c>
      <c r="J51" s="268">
        <v>0</v>
      </c>
      <c r="K51" s="267" t="e">
        <f ca="1"/>
        <v>#VALUE!</v>
      </c>
      <c r="L51" s="271" t="e">
        <f ca="1"/>
        <v>#VALUE!</v>
      </c>
      <c r="M51" s="277" t="e">
        <v>#VALUE!</v>
      </c>
      <c r="V51" s="294" t="e">
        <v>#VALUE!</v>
      </c>
      <c r="W51" s="45" t="e">
        <v>#VALUE!</v>
      </c>
      <c r="X51" s="34" t="e">
        <f ca="1"/>
        <v>#VALUE!</v>
      </c>
      <c r="Y51" s="45" t="e">
        <f ca="1"/>
        <v>#VALUE!</v>
      </c>
      <c r="Z51" s="34" t="e">
        <f ca="1"/>
        <v>#N/A</v>
      </c>
      <c r="AA51" s="34" t="e">
        <f ca="1"/>
        <v>#N/A</v>
      </c>
      <c r="AB51" s="34" t="e">
        <f ca="1"/>
        <v>#VALUE!</v>
      </c>
      <c r="AC51" s="322" t="e">
        <f ca="1"/>
        <v>#VALUE!</v>
      </c>
    </row>
    <row r="52" spans="1:29" x14ac:dyDescent="0.25">
      <c r="C52" s="294">
        <v>0</v>
      </c>
      <c r="D52" s="299" t="str">
        <v/>
      </c>
      <c r="E52" s="301" t="e">
        <f ca="1"/>
        <v>#VALUE!</v>
      </c>
      <c r="F52" s="303" t="e">
        <f ca="1"/>
        <v>#VALUE!</v>
      </c>
      <c r="I52" s="280">
        <v>9</v>
      </c>
      <c r="J52" s="268">
        <v>0</v>
      </c>
      <c r="K52" s="267" t="e">
        <f ca="1"/>
        <v>#VALUE!</v>
      </c>
      <c r="L52" s="271" t="e">
        <f ca="1"/>
        <v>#VALUE!</v>
      </c>
      <c r="M52" s="277" t="e">
        <v>#VALUE!</v>
      </c>
      <c r="V52" s="294" t="e">
        <v>#VALUE!</v>
      </c>
      <c r="W52" s="45" t="e">
        <v>#VALUE!</v>
      </c>
      <c r="X52" s="34" t="e">
        <f ca="1"/>
        <v>#VALUE!</v>
      </c>
      <c r="Y52" s="45" t="e">
        <f ca="1"/>
        <v>#VALUE!</v>
      </c>
      <c r="Z52" s="34" t="e">
        <f ca="1"/>
        <v>#N/A</v>
      </c>
      <c r="AA52" s="34" t="e">
        <f ca="1"/>
        <v>#N/A</v>
      </c>
      <c r="AB52" s="34" t="e">
        <f ca="1"/>
        <v>#VALUE!</v>
      </c>
      <c r="AC52" s="322" t="e">
        <f ca="1"/>
        <v>#VALUE!</v>
      </c>
    </row>
    <row r="53" spans="1:29" ht="15.75" thickBot="1" x14ac:dyDescent="0.3">
      <c r="C53" s="294">
        <v>0</v>
      </c>
      <c r="D53" s="299" t="str">
        <v/>
      </c>
      <c r="E53" s="301" t="e">
        <f ca="1"/>
        <v>#VALUE!</v>
      </c>
      <c r="F53" s="303" t="e">
        <f ca="1"/>
        <v>#VALUE!</v>
      </c>
      <c r="I53" s="280">
        <v>10</v>
      </c>
      <c r="J53" s="268">
        <v>0</v>
      </c>
      <c r="K53" s="267" t="e">
        <f ca="1"/>
        <v>#VALUE!</v>
      </c>
      <c r="L53" s="271" t="e">
        <f ca="1"/>
        <v>#VALUE!</v>
      </c>
      <c r="M53" s="277" t="e">
        <v>#VALUE!</v>
      </c>
      <c r="V53" s="295" t="e">
        <v>#VALUE!</v>
      </c>
      <c r="W53" s="297" t="e">
        <v>#VALUE!</v>
      </c>
      <c r="X53" s="296" t="e">
        <f ca="1"/>
        <v>#VALUE!</v>
      </c>
      <c r="Y53" s="297" t="e">
        <f ca="1"/>
        <v>#VALUE!</v>
      </c>
      <c r="Z53" s="296" t="e">
        <f ca="1"/>
        <v>#N/A</v>
      </c>
      <c r="AA53" s="296" t="e">
        <f ca="1"/>
        <v>#N/A</v>
      </c>
      <c r="AB53" s="296" t="e">
        <f ca="1"/>
        <v>#VALUE!</v>
      </c>
      <c r="AC53" s="323" t="e">
        <f ca="1"/>
        <v>#VALUE!</v>
      </c>
    </row>
    <row r="54" spans="1:29" ht="15.75" thickBot="1" x14ac:dyDescent="0.3">
      <c r="C54" s="295">
        <v>0</v>
      </c>
      <c r="D54" s="300" t="str">
        <v/>
      </c>
      <c r="E54" s="304" t="e">
        <f ca="1"/>
        <v>#VALUE!</v>
      </c>
      <c r="F54" s="305" t="e">
        <f ca="1"/>
        <v>#VALUE!</v>
      </c>
      <c r="I54" s="280">
        <v>11</v>
      </c>
      <c r="J54" s="268">
        <v>0</v>
      </c>
      <c r="K54" s="267" t="e">
        <f ca="1"/>
        <v>#VALUE!</v>
      </c>
      <c r="L54" s="271" t="e">
        <f ca="1"/>
        <v>#VALUE!</v>
      </c>
      <c r="M54" s="277" t="e">
        <v>#VALUE!</v>
      </c>
    </row>
    <row r="55" spans="1:29" ht="15.75" thickBot="1" x14ac:dyDescent="0.3">
      <c r="A55" s="34"/>
      <c r="B55" s="34"/>
      <c r="C55" s="34"/>
      <c r="D55" s="45"/>
      <c r="E55" s="34"/>
      <c r="F55" s="45"/>
      <c r="I55" s="281">
        <v>12</v>
      </c>
      <c r="J55" s="269">
        <v>0</v>
      </c>
      <c r="K55" s="270" t="e">
        <f ca="1"/>
        <v>#VALUE!</v>
      </c>
      <c r="L55" s="272" t="e">
        <f ca="1"/>
        <v>#VALUE!</v>
      </c>
      <c r="M55" s="278" t="e">
        <v>#VALUE!</v>
      </c>
    </row>
    <row r="56" spans="1:29" hidden="1" x14ac:dyDescent="0.25">
      <c r="B56" s="590" t="s">
        <v>378</v>
      </c>
      <c r="C56" s="590"/>
      <c r="D56" s="590" t="s">
        <v>379</v>
      </c>
      <c r="E56" s="590"/>
    </row>
    <row r="57" spans="1:29" hidden="1" x14ac:dyDescent="0.25">
      <c r="A57" t="s">
        <v>369</v>
      </c>
      <c r="B57" s="46" t="str" cm="1">
        <f t="array" ref="B57:B58">"A"&amp;_xlfn.SEQUENCE(F25+1,1,F25,-1)</f>
        <v>A1</v>
      </c>
      <c r="C57" t="e" cm="1">
        <f t="array" ref="C57">TRANSPOSE(LINEST(_xlfn.ANCHORARRAY(D43),_xlfn.ANCHORARRAY(C43)^_xlfn.SEQUENCE(1,F25)))</f>
        <v>#VALUE!</v>
      </c>
      <c r="D57" s="46" t="str" cm="1">
        <f t="array" ref="D57:D58">"A"&amp;_xlfn.SEQUENCE(F25+1,1,F25,-1)</f>
        <v>A1</v>
      </c>
      <c r="E57" s="265" t="e">
        <f>C57</f>
        <v>#VALUE!</v>
      </c>
      <c r="F57" s="46" t="str" cm="1">
        <f t="array" ref="F57:F58">"A"&amp;_xlfn.SEQUENCE($F$25+1,1,$F$25,-1)</f>
        <v>A1</v>
      </c>
      <c r="G57" t="e" cm="1">
        <f t="array" aca="1" ref="G57" ca="1">_xlfn.LET(_xlpm.indexFirstPoint,MATCH(0,_xlfn.ANCHORARRAY($Y$42),0),
_xlpm.arrayBeforeMatchingPoint,IFERROR($Y$42:OFFSET($Y$42,_xlpm.indexFirstPoint-1,0)/(INDEX(_xlfn.ANCHORARRAY($C$43),_xlpm.indexFirstPoint)-$C$43:OFFSET($C$43,_xlpm.indexFirstPoint-1,0)),0),
_xlpm.minDiffs,SMALL(_xlpm.arrayBeforeMatchingPoint,_xlfn.SEQUENCE($F$25+1)),
_xlpm.xpoints, INDEX(_xlfn.ANCHORARRAY($D$43),MATCH(_xlpm.minDiffs,_xlpm.arrayBeforeMatchingPoint,0)),
_xlpm.ypoints,INDEX(_xlfn.ANCHORARRAY($C$43),MATCH(_xlpm.minDiffs,_xlpm.arrayBeforeMatchingPoint,0)),
_xlpm.temp,IF(_xlpm.indexFirstPoint=1,$E$57:$E$58,TRANSPOSE(LINEST(_xlpm.xpoints,_xlpm.ypoints^_xlfn.SEQUENCE(1,$F$25)))),
_xlpm.temp)</f>
        <v>#N/A</v>
      </c>
      <c r="H57" s="46" t="str" cm="1">
        <f t="array" ref="H57:H58">"A"&amp;_xlfn.SEQUENCE($F$25+1,1,$F$25,-1)</f>
        <v>A1</v>
      </c>
      <c r="I57" s="225" t="e" cm="1">
        <f t="array" aca="1" ref="I57" ca="1">_xlfn.LET(_xlpm.indexFirstPoint,MATCH(0,_xlfn.ANCHORARRAY($Y$42),0),
_xlpm.arrayAfterMatchingPoint,OFFSET($Y$42,_xlpm.indexFirstPoint-1,0):OFFSET($Y$42,COUNT(_xlfn.ANCHORARRAY($Y$42))-1,0)/OFFSET($C$43,_xlpm.indexFirstPoint-1,0):OFFSET($C$43,COUNT(_xlfn.ANCHORARRAY($C$43))-1,0),
_xlpm.minDiffs,SMALL(_xlpm.arrayAfterMatchingPoint,_xlfn.SEQUENCE($F$25+1)),
_xlpm.xpoints, INDEX(_xlfn.ANCHORARRAY($D$43),MATCH(_xlpm.minDiffs,_xlpm.arrayAfterMatchingPoint,0)+_xlpm.indexFirstPoint-1),
_xlpm.ypoints,INDEX(_xlfn.ANCHORARRAY($C$43),MATCH(_xlpm.minDiffs,_xlpm.arrayAfterMatchingPoint,0)+_xlpm.indexFirstPoint-1),
_xlpm.temp,TRANSPOSE(LINEST(_xlpm.xpoints,_xlpm.ypoints^_xlfn.SEQUENCE(1,$F$25))),
_xlpm.temp)</f>
        <v>#VALUE!</v>
      </c>
      <c r="J57" s="292" t="str" cm="1">
        <f t="array" ref="J57:J58">"A"&amp;_xlfn.SEQUENCE($F$25+1,1,$F$25,-1)</f>
        <v>A1</v>
      </c>
      <c r="K57" s="328" t="e" cm="1">
        <f t="array" aca="1" ref="K57" ca="1">IF(IFERROR(MAX(_xlfn.ANCHORARRAY(AA42)),"")&lt;IFERROR(MAX(_xlfn.ANCHORARRAY(AC42)),""),_xlfn.ANCHORARRAY(G57),_xlfn.ANCHORARRAY(I57))</f>
        <v>#VALUE!</v>
      </c>
      <c r="S57" s="225"/>
      <c r="T57" s="225"/>
    </row>
    <row r="58" spans="1:29" hidden="1" x14ac:dyDescent="0.25">
      <c r="B58" s="46" t="str">
        <v>A0</v>
      </c>
      <c r="D58" s="46" t="str">
        <v>A0</v>
      </c>
      <c r="E58" s="265" t="e">
        <f>C58-MIN(_xlfn.ANCHORARRAY(W42))</f>
        <v>#VALUE!</v>
      </c>
      <c r="F58" s="46" t="str">
        <v>A0</v>
      </c>
      <c r="H58" s="46" t="str">
        <v>A0</v>
      </c>
      <c r="J58" s="292" t="str">
        <v>A0</v>
      </c>
      <c r="K58" s="200"/>
    </row>
    <row r="59" spans="1:29" x14ac:dyDescent="0.25">
      <c r="C59" s="748" t="str">
        <f>IF(F25=1,"CMC = ((APPLIED FORCE X  SLOPE A1) + ADJUSTED INTERCEPT A0)","CMC=A3  𝐹^3+A2  𝐹^2+A1  𝐹+A0")</f>
        <v>CMC = ((APPLIED FORCE X  SLOPE A1) + ADJUSTED INTERCEPT A0)</v>
      </c>
      <c r="D59" s="748"/>
      <c r="E59" s="748"/>
      <c r="F59" s="748"/>
    </row>
    <row r="60" spans="1:29" ht="15.75" thickBot="1" x14ac:dyDescent="0.3"/>
    <row r="61" spans="1:29" ht="15.75" thickBot="1" x14ac:dyDescent="0.3">
      <c r="D61" s="315" t="str">
        <f>J57</f>
        <v>A1</v>
      </c>
      <c r="E61" s="316" t="e">
        <f ca="1">K57</f>
        <v>#VALUE!</v>
      </c>
      <c r="I61" s="749" t="s">
        <v>404</v>
      </c>
      <c r="J61" s="750"/>
      <c r="K61" s="751"/>
      <c r="L61" s="309">
        <v>2.0000000000000001E-4</v>
      </c>
    </row>
    <row r="62" spans="1:29" ht="15.75" thickBot="1" x14ac:dyDescent="0.3">
      <c r="D62" s="317" t="str">
        <f>J58</f>
        <v>A0</v>
      </c>
      <c r="E62" s="318">
        <f>K58</f>
        <v>0</v>
      </c>
      <c r="I62" s="752" t="s">
        <v>405</v>
      </c>
      <c r="J62" s="753"/>
      <c r="K62" s="754"/>
      <c r="L62" s="311" t="e">
        <f ca="1">ROUNDUP(E62/(L61-E61),2)</f>
        <v>#VALUE!</v>
      </c>
    </row>
    <row r="64" spans="1:29" x14ac:dyDescent="0.25">
      <c r="A64" s="481" t="s">
        <v>562</v>
      </c>
      <c r="C64" s="481"/>
      <c r="D64" s="481"/>
      <c r="E64" s="481"/>
      <c r="F64" s="481"/>
    </row>
    <row r="66" spans="1:5" ht="15.75" thickBot="1" x14ac:dyDescent="0.3"/>
    <row r="67" spans="1:5" ht="15.75" thickBot="1" x14ac:dyDescent="0.3">
      <c r="D67" s="324" t="s">
        <v>406</v>
      </c>
      <c r="E67" s="325" t="e">
        <f ca="1">MAX(_xlfn.ANCHORARRAY(E43))</f>
        <v>#VALUE!</v>
      </c>
    </row>
    <row r="70" spans="1:5" ht="15.75" x14ac:dyDescent="0.25">
      <c r="A70" s="124" t="s">
        <v>561</v>
      </c>
      <c r="B70" s="695"/>
      <c r="C70" s="696"/>
    </row>
    <row r="71" spans="1:5" ht="15.75" x14ac:dyDescent="0.25">
      <c r="A71" s="124" t="s">
        <v>60</v>
      </c>
      <c r="B71" s="695"/>
      <c r="C71" s="696"/>
    </row>
  </sheetData>
  <sheetProtection sheet="1" objects="1" scenarios="1"/>
  <mergeCells count="15">
    <mergeCell ref="B70:C70"/>
    <mergeCell ref="B71:C71"/>
    <mergeCell ref="C59:F59"/>
    <mergeCell ref="I61:K61"/>
    <mergeCell ref="I62:K62"/>
    <mergeCell ref="I42:M42"/>
    <mergeCell ref="B56:C56"/>
    <mergeCell ref="D56:E56"/>
    <mergeCell ref="A2:M2"/>
    <mergeCell ref="C1:M1"/>
    <mergeCell ref="E26:F27"/>
    <mergeCell ref="C5:C6"/>
    <mergeCell ref="D5:M6"/>
    <mergeCell ref="F4:M4"/>
    <mergeCell ref="B3:M3"/>
  </mergeCells>
  <conditionalFormatting sqref="G25">
    <cfRule type="expression" dxfId="46" priority="1">
      <formula>IF($F$25&gt;1, FALSE, TRUE)</formula>
    </cfRule>
  </conditionalFormatting>
  <conditionalFormatting sqref="J8:J19">
    <cfRule type="expression" dxfId="45" priority="2">
      <formula>IF(J8&lt;-0.00000000001,TRUE, FALSE)</formula>
    </cfRule>
  </conditionalFormatting>
  <dataValidations count="3">
    <dataValidation type="list" allowBlank="1" showInputMessage="1" showErrorMessage="1" sqref="M8:M19" xr:uid="{22A5F94F-8D65-4B87-B440-734BB3725302}">
      <formula1>$S$1:$S$2</formula1>
    </dataValidation>
    <dataValidation type="whole" operator="greaterThan" allowBlank="1" showInputMessage="1" showErrorMessage="1" sqref="C41" xr:uid="{01C91950-5859-4876-AC32-ED5C601ADC0E}">
      <formula1>0</formula1>
    </dataValidation>
    <dataValidation type="list" allowBlank="1" showInputMessage="1" showErrorMessage="1" sqref="F25" xr:uid="{B91863F0-BD4A-4DA4-85A7-3BF15D36866B}">
      <formula1>"1"</formula1>
    </dataValidation>
  </dataValidations>
  <pageMargins left="0.7" right="0.7" top="0.75" bottom="0.75" header="0.3" footer="0.3"/>
  <pageSetup scale="95" orientation="portrait" r:id="rId1"/>
  <ignoredErrors>
    <ignoredError sqref="D4:M4 B3:B4 B6 D6:M6 E5:M5 B11:D19 B8:C10 L9:L19" unlockedFormula="1"/>
    <ignoredError xmlns:x16r3="http://schemas.microsoft.com/office/spreadsheetml/2018/08/main" sqref="D5" unlockedFormula="1" x16r3:misleadingFormat="1"/>
    <ignoredError sqref="D8:D10" evalError="1" unlockedFormula="1"/>
    <ignoredError sqref="E43:F47 K44:M46 E61 E67 L62 F30 E48:F53 K47:L54 M47:M54 V42:AC52" evalError="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Q33"/>
  <sheetViews>
    <sheetView topLeftCell="A7" zoomScale="120" zoomScaleNormal="120" workbookViewId="0">
      <selection activeCell="I25" sqref="I25"/>
    </sheetView>
  </sheetViews>
  <sheetFormatPr defaultRowHeight="15" x14ac:dyDescent="0.25"/>
  <cols>
    <col min="1" max="1" width="34" customWidth="1"/>
    <col min="2" max="2" width="15.5703125" customWidth="1"/>
    <col min="3" max="3" width="10" customWidth="1"/>
    <col min="4" max="4" width="25" customWidth="1"/>
    <col min="5" max="8" width="12.5703125" customWidth="1"/>
    <col min="9" max="9" width="20.1406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55" t="s">
        <v>23</v>
      </c>
      <c r="B1" s="755"/>
      <c r="C1" s="755"/>
      <c r="D1" s="755"/>
      <c r="E1" s="755"/>
      <c r="F1" s="755"/>
      <c r="G1" s="755"/>
      <c r="H1" s="755"/>
      <c r="I1" s="755"/>
      <c r="J1" s="755"/>
      <c r="K1" s="335" t="s">
        <v>549</v>
      </c>
      <c r="L1" s="336">
        <v>1</v>
      </c>
      <c r="M1" s="470"/>
      <c r="N1" s="471">
        <v>0.68269999999999997</v>
      </c>
      <c r="O1" s="470"/>
      <c r="P1" s="470"/>
      <c r="Q1" s="470"/>
    </row>
    <row r="2" spans="1:17" x14ac:dyDescent="0.25">
      <c r="A2" s="1" t="s">
        <v>24</v>
      </c>
      <c r="B2" s="624" t="s">
        <v>48</v>
      </c>
      <c r="C2" s="624"/>
      <c r="D2" s="624"/>
      <c r="E2" s="624"/>
      <c r="F2" s="624"/>
      <c r="G2" s="624"/>
      <c r="H2" s="624"/>
      <c r="I2" s="624"/>
      <c r="J2" s="624"/>
      <c r="K2" s="335" t="s">
        <v>550</v>
      </c>
      <c r="L2" s="336">
        <v>1.96</v>
      </c>
      <c r="M2" s="470"/>
      <c r="N2" s="472">
        <v>0.95</v>
      </c>
      <c r="O2" s="470"/>
      <c r="P2" s="470"/>
      <c r="Q2" s="470"/>
    </row>
    <row r="3" spans="1:17"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c r="Q3" s="470"/>
    </row>
    <row r="4" spans="1:17" x14ac:dyDescent="0.25">
      <c r="A4" s="1" t="s">
        <v>28</v>
      </c>
      <c r="B4" s="3" t="s">
        <v>49</v>
      </c>
      <c r="C4" s="691" t="s">
        <v>30</v>
      </c>
      <c r="D4" s="756"/>
      <c r="E4" s="757"/>
      <c r="F4" s="757"/>
      <c r="G4" s="757"/>
      <c r="H4" s="757"/>
      <c r="I4" s="757"/>
      <c r="J4" s="757"/>
      <c r="K4" s="335" t="s">
        <v>552</v>
      </c>
      <c r="L4" s="335">
        <v>2.5779999999999998</v>
      </c>
      <c r="M4" s="470"/>
      <c r="N4" s="472">
        <v>0.99</v>
      </c>
      <c r="O4" s="470"/>
      <c r="P4" s="470"/>
      <c r="Q4" s="470"/>
    </row>
    <row r="5" spans="1:17" x14ac:dyDescent="0.25">
      <c r="A5" s="1" t="s">
        <v>29</v>
      </c>
      <c r="B5" s="32">
        <f>'Uncertainty Worksheet'!B51</f>
        <v>0</v>
      </c>
      <c r="C5" s="691"/>
      <c r="D5" s="757"/>
      <c r="E5" s="757"/>
      <c r="F5" s="757"/>
      <c r="G5" s="757"/>
      <c r="H5" s="757"/>
      <c r="I5" s="757"/>
      <c r="J5" s="757"/>
      <c r="K5" s="335" t="s">
        <v>553</v>
      </c>
      <c r="L5" s="336">
        <v>3</v>
      </c>
      <c r="M5" s="470"/>
      <c r="N5" s="471">
        <v>0.99729999999999996</v>
      </c>
      <c r="O5" s="470"/>
      <c r="P5" s="470"/>
      <c r="Q5" s="470"/>
    </row>
    <row r="6" spans="1:17" ht="45" x14ac:dyDescent="0.25">
      <c r="A6" s="1" t="s">
        <v>22</v>
      </c>
      <c r="B6" s="1" t="s">
        <v>0</v>
      </c>
      <c r="C6" s="1" t="s">
        <v>1</v>
      </c>
      <c r="D6" s="1" t="s">
        <v>2</v>
      </c>
      <c r="E6" s="1" t="s">
        <v>3</v>
      </c>
      <c r="F6" s="1" t="s">
        <v>4</v>
      </c>
      <c r="G6" s="1" t="s">
        <v>5</v>
      </c>
      <c r="H6" s="1" t="s">
        <v>32</v>
      </c>
      <c r="I6" s="2" t="s">
        <v>6</v>
      </c>
      <c r="J6" s="1" t="s">
        <v>31</v>
      </c>
      <c r="K6" s="335" t="s">
        <v>18</v>
      </c>
      <c r="L6" s="335">
        <v>0</v>
      </c>
      <c r="M6" s="470"/>
      <c r="N6" s="471"/>
      <c r="O6" s="470"/>
      <c r="P6" s="470"/>
      <c r="Q6" s="470"/>
    </row>
    <row r="7" spans="1:17" x14ac:dyDescent="0.25">
      <c r="A7" s="1" t="str">
        <f>'R &amp; R Between Techs'!A7</f>
        <v>Repeatability Between Techs</v>
      </c>
      <c r="B7" s="1" t="e">
        <f>'R &amp; R Between Techs'!D60</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2"/>
      <c r="O7" s="470"/>
      <c r="P7" s="470"/>
      <c r="Q7" s="470"/>
    </row>
    <row r="8" spans="1:17" x14ac:dyDescent="0.25">
      <c r="A8" s="62" t="str">
        <f>'R &amp; R Between Techs'!A8</f>
        <v>Reproducibility Between Techs</v>
      </c>
      <c r="B8" s="62" t="e">
        <f>'R &amp; R Between Techs'!E60</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1"/>
      <c r="O8" s="470"/>
      <c r="P8" s="470"/>
      <c r="Q8" s="470"/>
    </row>
    <row r="9" spans="1:17" x14ac:dyDescent="0.25">
      <c r="A9" s="76"/>
      <c r="B9" s="77"/>
      <c r="C9" s="78"/>
      <c r="D9" s="79"/>
      <c r="E9" s="80"/>
      <c r="F9" s="61"/>
      <c r="G9" s="81"/>
      <c r="H9" s="81"/>
      <c r="I9" s="82"/>
      <c r="J9" s="83"/>
      <c r="K9" s="335" t="s">
        <v>8</v>
      </c>
      <c r="L9" s="336">
        <v>1</v>
      </c>
      <c r="M9" s="470"/>
      <c r="N9" s="470"/>
      <c r="O9" s="470"/>
      <c r="P9" s="470"/>
      <c r="Q9" s="470"/>
    </row>
    <row r="10" spans="1:17" x14ac:dyDescent="0.25">
      <c r="A10" s="69" t="str">
        <f>'Uncertainty Worksheet'!A54</f>
        <v>Repeatability</v>
      </c>
      <c r="B10" s="70" t="e">
        <f>IF('R &amp; R Between Techs'!E5="Y",(N10),(N11))</f>
        <v>#DIV/0!</v>
      </c>
      <c r="C10" s="35" t="str">
        <f>'Uncertainty Worksheet'!C54</f>
        <v>A</v>
      </c>
      <c r="D10" s="71" t="str">
        <f>'Uncertainty Worksheet'!D54</f>
        <v>Normal</v>
      </c>
      <c r="E10" s="72">
        <f t="shared" si="0"/>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c r="Q10" s="470"/>
    </row>
    <row r="11" spans="1:17" x14ac:dyDescent="0.25">
      <c r="A11" s="13" t="str">
        <f>'Uncertainty Worksheet'!A55</f>
        <v>ASTM E74 LLF</v>
      </c>
      <c r="B11" s="18">
        <f>IF(A11="ASTM E74 LLF",'Uncertainty Worksheet'!B55,
   IF(A11="ISO 376 Uncertainty",'Uncertainty Worksheet'!X30,
   IF(A11="ISO 376 % or % Per Point",'Uncertainty Worksheet'!M15,0)))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c r="P11" s="470"/>
      <c r="Q11" s="470"/>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c r="Q12" s="470"/>
    </row>
    <row r="13" spans="1:17" x14ac:dyDescent="0.25">
      <c r="A13" s="13" t="str">
        <f>'Uncertainty Worksheet'!A57</f>
        <v>Environmental Conditions</v>
      </c>
      <c r="B13" s="18">
        <f>'Uncertainty Worksheet'!T7</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c r="Q13" s="470"/>
    </row>
    <row r="14" spans="1:17" x14ac:dyDescent="0.25">
      <c r="A14" s="13" t="str">
        <f>'Uncertainty Worksheet'!A58</f>
        <v>Stability of  Ref Standard</v>
      </c>
      <c r="B14" s="18" t="str">
        <f>'Uncertainty Worksheet'!Q7</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c r="Q14" s="470"/>
    </row>
    <row r="15" spans="1:17"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c r="P15" s="470"/>
      <c r="Q15" s="470"/>
    </row>
    <row r="16" spans="1:17" ht="30" x14ac:dyDescent="0.25">
      <c r="A16" s="13" t="str">
        <f>'Uncertainty Worksheet'!A60</f>
        <v>Non ASTM or ISO 376 (Tolerance,Non-Linearity,SEB)</v>
      </c>
      <c r="B16" s="18" t="str">
        <f>'Uncertainty Worksheet'!R84</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70"/>
      <c r="L16" s="470"/>
      <c r="M16" s="470"/>
      <c r="N16" s="470"/>
      <c r="O16" s="470"/>
      <c r="P16" s="470"/>
      <c r="Q16" s="470"/>
    </row>
    <row r="17" spans="1:17" x14ac:dyDescent="0.25">
      <c r="A17" s="13" t="str">
        <f>'Uncertainty Worksheet'!A61</f>
        <v>Miscellaneous Error</v>
      </c>
      <c r="B17" s="18" t="str">
        <f>IF('Uncertainty Worksheet'!B61=0, "",'Uncertainty Worksheet'!R50)</f>
        <v/>
      </c>
      <c r="C17" s="121" t="str">
        <f>IF('Uncertainty Worksheet'!B61=0, "",'Uncertainty Worksheet'!C61)</f>
        <v/>
      </c>
      <c r="D17" s="121" t="str">
        <f>IF('Uncertainty Worksheet'!B61=0, "",'Uncertainty Worksheet'!D61)</f>
        <v/>
      </c>
      <c r="E17" s="8" t="e">
        <f>LOOKUP(D17,Distribution)</f>
        <v>#N/A</v>
      </c>
      <c r="F17" s="3"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c r="K17" s="470"/>
      <c r="L17" s="470"/>
      <c r="M17" s="470"/>
      <c r="N17" s="470"/>
      <c r="O17" s="470"/>
      <c r="P17" s="470"/>
      <c r="Q17" s="470"/>
    </row>
    <row r="18" spans="1:17" x14ac:dyDescent="0.25">
      <c r="A18" s="13" t="str">
        <f>'Uncertainty Worksheet'!A62</f>
        <v>Morehouse CMC</v>
      </c>
      <c r="B18" s="18" t="e">
        <f>K25</f>
        <v>#VALUE!</v>
      </c>
      <c r="C18" s="35" t="str">
        <f>'Uncertainty Worksheet'!C62</f>
        <v>B</v>
      </c>
      <c r="D18" s="71" t="s">
        <v>15</v>
      </c>
      <c r="E18" s="8">
        <f t="shared" si="0"/>
        <v>2</v>
      </c>
      <c r="F18" s="3">
        <f>'Uncertainty Worksheet'!F62</f>
        <v>200</v>
      </c>
      <c r="G18" s="19" t="str">
        <f t="shared" si="1"/>
        <v xml:space="preserve"> </v>
      </c>
      <c r="H18" s="19" t="str">
        <f t="shared" si="2"/>
        <v xml:space="preserve"> </v>
      </c>
      <c r="I18" s="12" t="str">
        <f>IF(ISERROR(H18/$H19), " ", (H18/$H19))</f>
        <v xml:space="preserve"> </v>
      </c>
      <c r="J18" s="5" t="str">
        <f t="shared" si="3"/>
        <v xml:space="preserve"> </v>
      </c>
      <c r="K18" s="470"/>
      <c r="L18" s="470"/>
      <c r="M18" s="470"/>
      <c r="N18" s="470"/>
      <c r="O18" s="470"/>
      <c r="P18" s="470"/>
      <c r="Q18" s="470"/>
    </row>
    <row r="19" spans="1:17" ht="18" x14ac:dyDescent="0.35">
      <c r="A19" s="7"/>
      <c r="B19" s="7"/>
      <c r="D19" s="706" t="s">
        <v>52</v>
      </c>
      <c r="E19" s="619"/>
      <c r="F19" s="620"/>
      <c r="G19" s="20">
        <f>SQRT(H19)</f>
        <v>6.9282032302755096E-3</v>
      </c>
      <c r="H19" s="21">
        <f>SUM(H7:H18)</f>
        <v>4.8000000000000008E-5</v>
      </c>
      <c r="I19" s="17">
        <f>SUM(I7:I18)</f>
        <v>1</v>
      </c>
      <c r="J19" s="16">
        <f>SUM(J7:J18)</f>
        <v>1.1520000000000004E-11</v>
      </c>
      <c r="K19" s="470" t="s">
        <v>523</v>
      </c>
      <c r="L19" s="470"/>
      <c r="M19" s="470"/>
      <c r="N19" s="470"/>
      <c r="O19" s="470"/>
      <c r="P19" s="470"/>
      <c r="Q19" s="470"/>
    </row>
    <row r="20" spans="1:17" x14ac:dyDescent="0.25">
      <c r="A20" s="7"/>
      <c r="B20" s="7"/>
      <c r="D20" s="644" t="s">
        <v>12</v>
      </c>
      <c r="E20" s="644"/>
      <c r="F20" s="644"/>
      <c r="G20" s="14">
        <f>IF(ISERROR(INT(G19^4/J19)), " ", INT(G19^4/J19))</f>
        <v>200</v>
      </c>
      <c r="H20" s="21"/>
      <c r="I20" s="6"/>
      <c r="J20" s="6"/>
    </row>
    <row r="21" spans="1:17" x14ac:dyDescent="0.25">
      <c r="A21" s="29"/>
      <c r="B21" s="7"/>
      <c r="D21" s="764" t="s">
        <v>538</v>
      </c>
      <c r="E21" s="765"/>
      <c r="F21" s="256">
        <f>'R &amp; R Between Techs'!F21</f>
        <v>0.95450000000000002</v>
      </c>
      <c r="G21" s="250">
        <f>IF(ISERROR(TINV((1-F21),G20)), " ", TINV((1-F21),G20))</f>
        <v>2.0125794050712815</v>
      </c>
      <c r="H21" s="25"/>
      <c r="I21" s="6"/>
      <c r="J21" s="6"/>
    </row>
    <row r="22" spans="1:17" x14ac:dyDescent="0.25">
      <c r="A22" s="7"/>
      <c r="B22" s="7"/>
      <c r="D22" s="758" t="s">
        <v>109</v>
      </c>
      <c r="E22" s="759"/>
      <c r="F22" s="760"/>
      <c r="G22" s="28">
        <f>IF(ISERROR(G19*G21), " ", G19*G21)</f>
        <v>1.3943559135400817E-2</v>
      </c>
      <c r="H22" s="30" t="e">
        <f>G22/(MAX(B25:B25))</f>
        <v>#DIV/0!</v>
      </c>
    </row>
    <row r="23" spans="1:17" x14ac:dyDescent="0.25">
      <c r="A23" s="677" t="s">
        <v>150</v>
      </c>
      <c r="B23" s="678"/>
      <c r="C23" s="678"/>
      <c r="D23" s="678"/>
      <c r="E23" s="678"/>
      <c r="F23" s="678"/>
      <c r="G23" s="678"/>
      <c r="H23" s="678"/>
      <c r="I23" s="678"/>
      <c r="J23" s="678"/>
      <c r="K23" s="679"/>
    </row>
    <row r="24" spans="1:17" x14ac:dyDescent="0.25">
      <c r="A24" s="184">
        <v>1</v>
      </c>
      <c r="B24" s="458" t="s">
        <v>42</v>
      </c>
      <c r="C24" s="458" t="s">
        <v>38</v>
      </c>
      <c r="D24" s="458" t="s">
        <v>39</v>
      </c>
      <c r="E24" s="458" t="s">
        <v>40</v>
      </c>
      <c r="F24" s="458" t="s">
        <v>93</v>
      </c>
      <c r="G24" s="458" t="s">
        <v>534</v>
      </c>
      <c r="H24" s="458" t="s">
        <v>41</v>
      </c>
      <c r="I24" s="458" t="s">
        <v>43</v>
      </c>
      <c r="J24" s="38" t="s">
        <v>59</v>
      </c>
      <c r="K24" s="459" t="str">
        <f>'Uncertainty Worksheet'!$C$11</f>
        <v>lbf</v>
      </c>
      <c r="N24" s="27"/>
    </row>
    <row r="25" spans="1:17" x14ac:dyDescent="0.25">
      <c r="A25" s="11" t="s">
        <v>44</v>
      </c>
      <c r="B25" s="33">
        <f>'Uncertainty Worksheet'!B69</f>
        <v>0</v>
      </c>
      <c r="C25" s="33" t="str">
        <f>'Uncertainty Worksheet'!C69</f>
        <v/>
      </c>
      <c r="D25" s="33" t="str">
        <f>'Uncertainty Worksheet'!D69</f>
        <v/>
      </c>
      <c r="E25" s="33" t="str">
        <f>'Uncertainty Worksheet'!E69</f>
        <v/>
      </c>
      <c r="F25" s="33" t="str">
        <f>'Uncertainty Worksheet'!F69</f>
        <v/>
      </c>
      <c r="G25" s="33" t="str">
        <f>'Uncertainty Worksheet'!G69</f>
        <v/>
      </c>
      <c r="H25" s="23" t="str">
        <f>IF(ISERROR(AVERAGE(C25:F25)), " ", AVERAGE(C25:F25))</f>
        <v xml:space="preserve"> </v>
      </c>
      <c r="I25" s="36" t="str">
        <f>IF(ISERROR(STDEV(C25:F25)), " ", STDEV(C25:F25))</f>
        <v xml:space="preserve"> </v>
      </c>
      <c r="J25" s="40" t="str">
        <f>'Uncertainty Worksheet'!R68</f>
        <v/>
      </c>
      <c r="K25" s="41" t="e">
        <f>B25*J25</f>
        <v>#VALUE!</v>
      </c>
    </row>
    <row r="26" spans="1:17" x14ac:dyDescent="0.25">
      <c r="C26" t="str">
        <f>IF(ISERROR(STDEV(I25:I25)), " ", STDEV(I25:I25))</f>
        <v xml:space="preserve"> </v>
      </c>
      <c r="D26" s="761" t="s">
        <v>45</v>
      </c>
      <c r="E26" s="762"/>
      <c r="F26" s="763"/>
      <c r="G26" s="454" t="e">
        <f>SQRT((SUMSQ(I25:I25)/COUNT(I25:I25)))</f>
        <v>#DIV/0!</v>
      </c>
      <c r="I26" s="232"/>
      <c r="J26" s="343" t="str">
        <f>IF(ISERROR(STDEV(J25:J25)), " ", STDEV(J25:J25))</f>
        <v xml:space="preserve"> </v>
      </c>
      <c r="K26" s="343" t="str">
        <f>IF(ISERROR(STDEV(K25:K25)), " ", STDEV(K25:K25))</f>
        <v xml:space="preserve"> </v>
      </c>
    </row>
    <row r="29" spans="1:17" x14ac:dyDescent="0.25">
      <c r="A29" s="58" t="s">
        <v>94</v>
      </c>
      <c r="I29" s="232"/>
    </row>
    <row r="30" spans="1:17" x14ac:dyDescent="0.25">
      <c r="A30" s="7"/>
      <c r="B30" s="7"/>
    </row>
    <row r="31" spans="1:17" x14ac:dyDescent="0.25">
      <c r="A31" s="7"/>
      <c r="B31" s="7"/>
    </row>
    <row r="32" spans="1:17" x14ac:dyDescent="0.25">
      <c r="A32" s="7"/>
      <c r="B32" s="7"/>
    </row>
    <row r="33" spans="1:2" x14ac:dyDescent="0.25">
      <c r="A33" s="7"/>
      <c r="B33" s="7"/>
    </row>
  </sheetData>
  <sheetProtection sheet="1" objects="1" scenarios="1"/>
  <mergeCells count="11">
    <mergeCell ref="D20:F20"/>
    <mergeCell ref="D22:F22"/>
    <mergeCell ref="D26:F26"/>
    <mergeCell ref="D21:E21"/>
    <mergeCell ref="A23:K23"/>
    <mergeCell ref="D19:F19"/>
    <mergeCell ref="A1:J1"/>
    <mergeCell ref="B2:J2"/>
    <mergeCell ref="F3:J3"/>
    <mergeCell ref="C4:C5"/>
    <mergeCell ref="D4:J5"/>
  </mergeCells>
  <conditionalFormatting sqref="B10">
    <cfRule type="cellIs" dxfId="44" priority="4" operator="equal">
      <formula>"I'R &amp; R Between Techs'!$E$5=""Y"""</formula>
    </cfRule>
  </conditionalFormatting>
  <conditionalFormatting sqref="F10">
    <cfRule type="cellIs" dxfId="43" priority="1" operator="greaterThan">
      <formula>999</formula>
    </cfRule>
    <cfRule type="cellIs" dxfId="42" priority="2" operator="greaterThan">
      <formula>1000</formula>
    </cfRule>
    <cfRule type="cellIs" dxfId="4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400-000000000000}">
      <formula1>$K$1:$K$12</formula1>
    </dataValidation>
    <dataValidation type="list" allowBlank="1" showInputMessage="1" showErrorMessage="1" promptTitle="Select Confidence Interval" prompt="Select Confidence Interval. Default is 95.45%" sqref="F21" xr:uid="{FCC46BCA-43F5-4714-A814-17E4B0EA34FB}">
      <formula1>$N$1:$N$5</formula1>
    </dataValidation>
  </dataValidations>
  <pageMargins left="0.7" right="0.7" top="0.75" bottom="0.75" header="0.3" footer="0.3"/>
  <pageSetup scale="64" fitToHeight="0" orientation="landscape" r:id="rId1"/>
  <ignoredErrors>
    <ignoredError sqref="A10 F11 F17:F18 A12:A13 A11 C11:D11 A15:A17 A14 C14:D14 C10:D10 A18 F21 B25:G25 C18 C12:D13 C15:D17 B15:B17 B12:B13 B5:B6 B14 B9 B11" unlockedFormula="1"/>
    <ignoredError sqref="B7:B8 B18 B10" evalError="1" unlockedFormula="1"/>
    <ignoredError sqref="K25"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pageSetUpPr fitToPage="1"/>
  </sheetPr>
  <dimension ref="A1:P33"/>
  <sheetViews>
    <sheetView topLeftCell="A3" zoomScale="136" zoomScaleNormal="136" workbookViewId="0">
      <selection activeCell="B17" sqref="B17"/>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55" t="s">
        <v>23</v>
      </c>
      <c r="B1" s="755"/>
      <c r="C1" s="755"/>
      <c r="D1" s="755"/>
      <c r="E1" s="755"/>
      <c r="F1" s="755"/>
      <c r="G1" s="755"/>
      <c r="H1" s="755"/>
      <c r="I1" s="755"/>
      <c r="J1" s="755"/>
      <c r="K1" s="335" t="s">
        <v>549</v>
      </c>
      <c r="L1" s="336">
        <v>1</v>
      </c>
      <c r="M1" s="470"/>
      <c r="N1" s="471">
        <v>0.68269999999999997</v>
      </c>
      <c r="O1" s="470"/>
      <c r="P1" s="470"/>
    </row>
    <row r="2" spans="1:16" x14ac:dyDescent="0.25">
      <c r="A2" s="1" t="s">
        <v>24</v>
      </c>
      <c r="B2" s="624" t="s">
        <v>48</v>
      </c>
      <c r="C2" s="624"/>
      <c r="D2" s="624"/>
      <c r="E2" s="624"/>
      <c r="F2" s="624"/>
      <c r="G2" s="624"/>
      <c r="H2" s="624"/>
      <c r="I2" s="624"/>
      <c r="J2" s="624"/>
      <c r="K2" s="335" t="s">
        <v>550</v>
      </c>
      <c r="L2" s="336">
        <v>1.96</v>
      </c>
      <c r="M2" s="470"/>
      <c r="N2" s="472">
        <v>0.95</v>
      </c>
      <c r="O2" s="470"/>
      <c r="P2" s="470"/>
    </row>
    <row r="3" spans="1:16"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row>
    <row r="4" spans="1:16" x14ac:dyDescent="0.25">
      <c r="A4" s="1" t="s">
        <v>28</v>
      </c>
      <c r="B4" s="3" t="s">
        <v>49</v>
      </c>
      <c r="C4" s="691" t="s">
        <v>30</v>
      </c>
      <c r="D4" s="756"/>
      <c r="E4" s="757"/>
      <c r="F4" s="757"/>
      <c r="G4" s="757"/>
      <c r="H4" s="757"/>
      <c r="I4" s="757"/>
      <c r="J4" s="757"/>
      <c r="K4" s="335" t="s">
        <v>552</v>
      </c>
      <c r="L4" s="335">
        <v>2.5779999999999998</v>
      </c>
      <c r="M4" s="470"/>
      <c r="N4" s="472">
        <v>0.99</v>
      </c>
      <c r="O4" s="470"/>
      <c r="P4" s="470"/>
    </row>
    <row r="5" spans="1:16" x14ac:dyDescent="0.25">
      <c r="A5" s="1" t="s">
        <v>29</v>
      </c>
      <c r="B5" s="32">
        <f>'Uncertainty Worksheet'!B51</f>
        <v>0</v>
      </c>
      <c r="C5" s="691"/>
      <c r="D5" s="757"/>
      <c r="E5" s="757"/>
      <c r="F5" s="757"/>
      <c r="G5" s="757"/>
      <c r="H5" s="757"/>
      <c r="I5" s="757"/>
      <c r="J5" s="757"/>
      <c r="K5" s="335" t="s">
        <v>553</v>
      </c>
      <c r="L5" s="336">
        <v>3</v>
      </c>
      <c r="M5" s="470"/>
      <c r="N5" s="471">
        <v>0.99729999999999996</v>
      </c>
      <c r="O5" s="470"/>
      <c r="P5" s="470"/>
    </row>
    <row r="6" spans="1:16" ht="45" x14ac:dyDescent="0.25">
      <c r="A6" s="1" t="s">
        <v>22</v>
      </c>
      <c r="B6" s="1" t="s">
        <v>0</v>
      </c>
      <c r="C6" s="1" t="s">
        <v>1</v>
      </c>
      <c r="D6" s="1" t="s">
        <v>2</v>
      </c>
      <c r="E6" s="1" t="s">
        <v>3</v>
      </c>
      <c r="F6" s="1" t="s">
        <v>4</v>
      </c>
      <c r="G6" s="1" t="s">
        <v>5</v>
      </c>
      <c r="H6" s="1" t="s">
        <v>32</v>
      </c>
      <c r="I6" s="2" t="s">
        <v>6</v>
      </c>
      <c r="J6" s="1" t="s">
        <v>31</v>
      </c>
      <c r="K6" s="335" t="s">
        <v>18</v>
      </c>
      <c r="L6" s="335">
        <v>0</v>
      </c>
      <c r="M6" s="470"/>
      <c r="N6" s="471"/>
      <c r="O6" s="470"/>
      <c r="P6" s="470"/>
    </row>
    <row r="7" spans="1:16" x14ac:dyDescent="0.25">
      <c r="A7" s="1" t="str">
        <f>'R &amp; R Between Techs'!A7</f>
        <v>Repeatability Between Techs</v>
      </c>
      <c r="B7" s="1" t="e">
        <f>'R &amp; R Between Techs'!D61</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2"/>
      <c r="O7" s="470"/>
      <c r="P7" s="470"/>
    </row>
    <row r="8" spans="1:16" x14ac:dyDescent="0.25">
      <c r="A8" s="62" t="str">
        <f>'R &amp; R Between Techs'!A8</f>
        <v>Reproducibility Between Techs</v>
      </c>
      <c r="B8" s="62" t="e">
        <f>'R &amp; R Between Techs'!E61</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1"/>
      <c r="O8" s="470"/>
      <c r="P8" s="470"/>
    </row>
    <row r="9" spans="1:16" x14ac:dyDescent="0.25">
      <c r="A9" s="76"/>
      <c r="B9" s="77"/>
      <c r="C9" s="78"/>
      <c r="D9" s="79"/>
      <c r="E9" s="80"/>
      <c r="F9" s="61"/>
      <c r="G9" s="81"/>
      <c r="H9" s="81"/>
      <c r="I9" s="82"/>
      <c r="J9" s="83"/>
      <c r="K9" s="335" t="s">
        <v>8</v>
      </c>
      <c r="L9" s="336">
        <v>1</v>
      </c>
      <c r="M9" s="470"/>
      <c r="N9" s="470"/>
      <c r="O9" s="470"/>
      <c r="P9" s="470"/>
    </row>
    <row r="10" spans="1:16" x14ac:dyDescent="0.25">
      <c r="A10" s="69" t="str">
        <f>'Uncertainty Worksheet'!A54</f>
        <v>Repeatability</v>
      </c>
      <c r="B10" s="70" t="e">
        <f>IF('R &amp; R Between Techs'!E5="Y",(N10),(N11))</f>
        <v>#DIV/0!</v>
      </c>
      <c r="C10" s="35" t="str">
        <f>'Uncertainty Worksheet'!C54</f>
        <v>A</v>
      </c>
      <c r="D10" s="71" t="str">
        <f>'Uncertainty Worksheet'!D54</f>
        <v>Normal</v>
      </c>
      <c r="E10" s="72">
        <f t="shared" si="0"/>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row>
    <row r="11" spans="1:16" x14ac:dyDescent="0.25">
      <c r="A11" s="13" t="str">
        <f>'Uncertainty Worksheet'!A55</f>
        <v>ASTM E74 LLF</v>
      </c>
      <c r="B11" s="18">
        <f>IF(A11="ASTM E74 LLF",'Uncertainty Worksheet'!B55,
   IF(A11="ISO 376 Uncertainty",'Uncertainty Worksheet'!X30,
   IF(A11="ISO 376 % or % Per Point",'Uncertainty Worksheet'!M16,0)))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c r="P11" s="470"/>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row>
    <row r="13" spans="1:16" x14ac:dyDescent="0.25">
      <c r="A13" s="13" t="str">
        <f>'Uncertainty Worksheet'!A57</f>
        <v>Environmental Conditions</v>
      </c>
      <c r="B13" s="18">
        <f>'Uncertainty Worksheet'!T8</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row>
    <row r="14" spans="1:16" x14ac:dyDescent="0.25">
      <c r="A14" s="13" t="str">
        <f>'Uncertainty Worksheet'!A58</f>
        <v>Stability of  Ref Standard</v>
      </c>
      <c r="B14" s="18" t="str">
        <f>'Uncertainty Worksheet'!Q8</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row>
    <row r="15" spans="1:16"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c r="P15" s="470"/>
    </row>
    <row r="16" spans="1:16" ht="30" x14ac:dyDescent="0.25">
      <c r="A16" s="13" t="str">
        <f>'Uncertainty Worksheet'!A60</f>
        <v>Non ASTM or ISO 376 (Tolerance,Non-Linearity,SEB)</v>
      </c>
      <c r="B16" s="18" t="str">
        <f>'Uncertainty Worksheet'!R85</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70"/>
      <c r="L16" s="470"/>
      <c r="M16" s="470"/>
      <c r="N16" s="470"/>
      <c r="O16" s="470"/>
      <c r="P16" s="470"/>
    </row>
    <row r="17" spans="1:12" x14ac:dyDescent="0.25">
      <c r="A17" s="13" t="str">
        <f>'Uncertainty Worksheet'!A61</f>
        <v>Miscellaneous Error</v>
      </c>
      <c r="B17" s="18" t="str">
        <f>IF('Uncertainty Worksheet'!B61=0, "",'Uncertainty Worksheet'!R51)</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2"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2" ht="18" x14ac:dyDescent="0.35">
      <c r="A19" s="7"/>
      <c r="B19" s="7"/>
      <c r="D19" s="706" t="s">
        <v>52</v>
      </c>
      <c r="E19" s="619"/>
      <c r="F19" s="620"/>
      <c r="G19" s="20">
        <f>SQRT(H19)</f>
        <v>6.9282032302755096E-3</v>
      </c>
      <c r="H19" s="21">
        <f>SUM(H7:H18)</f>
        <v>4.8000000000000008E-5</v>
      </c>
      <c r="I19" s="17">
        <f>SUM(I7:I18)</f>
        <v>1</v>
      </c>
      <c r="J19" s="16">
        <f>SUM(J7:J18)</f>
        <v>1.1520000000000004E-11</v>
      </c>
    </row>
    <row r="20" spans="1:12" x14ac:dyDescent="0.25">
      <c r="A20" s="7"/>
      <c r="B20" s="7"/>
      <c r="D20" s="644" t="s">
        <v>12</v>
      </c>
      <c r="E20" s="644"/>
      <c r="F20" s="644"/>
      <c r="G20" s="14">
        <f>IF(ISERROR(INT(G19^4/J19)), " ", INT(G19^4/J19))</f>
        <v>200</v>
      </c>
      <c r="H20" s="21"/>
      <c r="I20" s="6"/>
      <c r="J20" s="6"/>
    </row>
    <row r="21" spans="1:12" x14ac:dyDescent="0.25">
      <c r="A21" s="29"/>
      <c r="B21" s="7"/>
      <c r="D21" s="764" t="s">
        <v>538</v>
      </c>
      <c r="E21" s="765"/>
      <c r="F21" s="256">
        <f>'R &amp; R Between Techs'!F21</f>
        <v>0.95450000000000002</v>
      </c>
      <c r="G21" s="250">
        <f>IF(ISERROR(TINV((1-F21),G20)), " ", TINV((1-F21),G20))</f>
        <v>2.0125794050712815</v>
      </c>
      <c r="H21" s="25"/>
      <c r="I21" s="6"/>
      <c r="J21" s="6"/>
    </row>
    <row r="22" spans="1:12" x14ac:dyDescent="0.25">
      <c r="A22" s="7"/>
      <c r="B22" s="7"/>
      <c r="D22" s="692" t="s">
        <v>537</v>
      </c>
      <c r="E22" s="692"/>
      <c r="F22" s="692"/>
      <c r="G22" s="28">
        <f>IF(ISERROR(G19*G21), " ", G19*G21)</f>
        <v>1.3943559135400817E-2</v>
      </c>
      <c r="H22" s="30" t="e">
        <f>G22/(MAX(B25:B25))</f>
        <v>#DIV/0!</v>
      </c>
    </row>
    <row r="23" spans="1:12" x14ac:dyDescent="0.25">
      <c r="A23" s="677" t="s">
        <v>150</v>
      </c>
      <c r="B23" s="678"/>
      <c r="C23" s="678"/>
      <c r="D23" s="678"/>
      <c r="E23" s="678"/>
      <c r="F23" s="678"/>
      <c r="G23" s="678"/>
      <c r="H23" s="678"/>
      <c r="I23" s="678"/>
      <c r="J23" s="678"/>
      <c r="K23" s="678"/>
      <c r="L23" s="679"/>
    </row>
    <row r="24" spans="1:12" x14ac:dyDescent="0.25">
      <c r="A24" s="4">
        <v>2</v>
      </c>
      <c r="B24" s="22" t="s">
        <v>42</v>
      </c>
      <c r="C24" s="22" t="s">
        <v>38</v>
      </c>
      <c r="D24" s="22" t="s">
        <v>39</v>
      </c>
      <c r="E24" s="22" t="s">
        <v>40</v>
      </c>
      <c r="F24" s="22" t="s">
        <v>93</v>
      </c>
      <c r="G24" s="22" t="s">
        <v>534</v>
      </c>
      <c r="H24" s="22" t="s">
        <v>41</v>
      </c>
      <c r="I24" s="22" t="s">
        <v>43</v>
      </c>
      <c r="J24" s="57" t="s">
        <v>59</v>
      </c>
      <c r="K24" s="57" t="s">
        <v>46</v>
      </c>
      <c r="L24" s="57" t="str">
        <f>'Uncertainty Worksheet'!$C$11</f>
        <v>lbf</v>
      </c>
    </row>
    <row r="25" spans="1:12" x14ac:dyDescent="0.25">
      <c r="A25" s="11" t="s">
        <v>44</v>
      </c>
      <c r="B25" s="460">
        <f>'Uncertainty Worksheet'!B70</f>
        <v>0</v>
      </c>
      <c r="C25" s="460" t="str">
        <f>'Uncertainty Worksheet'!C70</f>
        <v/>
      </c>
      <c r="D25" s="460" t="str">
        <f>'Uncertainty Worksheet'!D70</f>
        <v/>
      </c>
      <c r="E25" s="460" t="str">
        <f>'Uncertainty Worksheet'!E70</f>
        <v/>
      </c>
      <c r="F25" s="460" t="str">
        <f>'Uncertainty Worksheet'!F70</f>
        <v/>
      </c>
      <c r="G25" s="460" t="str">
        <f>'Uncertainty Worksheet'!G70</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2" x14ac:dyDescent="0.25">
      <c r="C26" t="str">
        <f>IF(ISERROR(STDEV(I25:I25)), " ", STDEV(I25:I25))</f>
        <v xml:space="preserve"> </v>
      </c>
      <c r="D26" s="761" t="s">
        <v>45</v>
      </c>
      <c r="E26" s="762"/>
      <c r="F26" s="763"/>
      <c r="G26" s="454" t="e">
        <f>SQRT((SUMSQ(I25:I25)/COUNT(I25:I25)))</f>
        <v>#DIV/0!</v>
      </c>
      <c r="I26" s="232"/>
      <c r="J26" s="343" t="str">
        <f>IF(ISERROR(STDEV(J25:J25)), " ", STDEV(J25:J25))</f>
        <v xml:space="preserve"> </v>
      </c>
      <c r="K26" s="343" t="str">
        <f>IF(ISERROR(STDEV(K25:K25)), " ", STDEV(K25:K25))</f>
        <v xml:space="preserve"> </v>
      </c>
    </row>
    <row r="29" spans="1:12" x14ac:dyDescent="0.25">
      <c r="A29" s="58" t="s">
        <v>110</v>
      </c>
    </row>
    <row r="30" spans="1:12" x14ac:dyDescent="0.25">
      <c r="A30" s="7"/>
      <c r="B30" s="7"/>
    </row>
    <row r="31" spans="1:12" x14ac:dyDescent="0.25">
      <c r="A31" s="7"/>
      <c r="B31" s="7"/>
    </row>
    <row r="32" spans="1:12"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40" priority="1" operator="greaterThan">
      <formula>999</formula>
    </cfRule>
    <cfRule type="cellIs" dxfId="39" priority="2" operator="greaterThan">
      <formula>1000</formula>
    </cfRule>
    <cfRule type="cellIs" dxfId="3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500-000000000000}">
      <formula1>$K$1:$K$12</formula1>
    </dataValidation>
    <dataValidation type="list" allowBlank="1" showInputMessage="1" showErrorMessage="1" promptTitle="Select Confidence Interval" prompt="Select Confidence Interval. Default is 95.45%" sqref="F21" xr:uid="{9A2B57DC-9D95-4A95-A61B-7069C99E37EC}">
      <formula1>$N$1:$N$5</formula1>
    </dataValidation>
  </dataValidations>
  <pageMargins left="0.7" right="0.7" top="0.75" bottom="0.75" header="0.3" footer="0.3"/>
  <pageSetup scale="64" fitToHeight="0" orientation="landscape" r:id="rId1"/>
  <ignoredErrors>
    <ignoredError sqref="F21 G25 E25 B24:F24 B25:D25 F25 B5 A10:A18" unlockedFormula="1"/>
    <ignoredError sqref="B7:C9 E10:F10 E12:F16 E11 E18:F18 E7:F9 K25:L25" evalError="1"/>
    <ignoredError sqref="B10:B18 C10:C18 F11 F17 D17 D18 D11 D12:D16 D10 D7:D9" evalError="1" unlockedFormula="1"/>
    <ignoredError sqref="E17" evalError="1"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P33"/>
  <sheetViews>
    <sheetView topLeftCell="A6" zoomScale="133" zoomScaleNormal="133" workbookViewId="0">
      <selection activeCell="I11" sqref="A11:I11"/>
    </sheetView>
  </sheetViews>
  <sheetFormatPr defaultRowHeight="15" x14ac:dyDescent="0.25"/>
  <cols>
    <col min="1" max="1" width="34" customWidth="1"/>
    <col min="2" max="2" width="15.5703125" customWidth="1"/>
    <col min="3" max="3" width="10"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55" t="s">
        <v>23</v>
      </c>
      <c r="B1" s="755"/>
      <c r="C1" s="755"/>
      <c r="D1" s="755"/>
      <c r="E1" s="755"/>
      <c r="F1" s="755"/>
      <c r="G1" s="755"/>
      <c r="H1" s="755"/>
      <c r="I1" s="755"/>
      <c r="J1" s="755"/>
      <c r="K1" s="335" t="s">
        <v>549</v>
      </c>
      <c r="L1" s="336">
        <v>1</v>
      </c>
      <c r="M1" s="470"/>
      <c r="N1" s="471">
        <v>0.68269999999999997</v>
      </c>
      <c r="O1" s="470"/>
      <c r="P1" s="470"/>
    </row>
    <row r="2" spans="1:16" x14ac:dyDescent="0.25">
      <c r="A2" s="1" t="s">
        <v>24</v>
      </c>
      <c r="B2" s="624" t="s">
        <v>48</v>
      </c>
      <c r="C2" s="624"/>
      <c r="D2" s="624"/>
      <c r="E2" s="624"/>
      <c r="F2" s="624"/>
      <c r="G2" s="624"/>
      <c r="H2" s="624"/>
      <c r="I2" s="624"/>
      <c r="J2" s="624"/>
      <c r="K2" s="335" t="s">
        <v>550</v>
      </c>
      <c r="L2" s="336">
        <v>1.96</v>
      </c>
      <c r="M2" s="470"/>
      <c r="N2" s="472">
        <v>0.95</v>
      </c>
      <c r="O2" s="470"/>
      <c r="P2" s="470"/>
    </row>
    <row r="3" spans="1:16" x14ac:dyDescent="0.25">
      <c r="A3" s="1" t="s">
        <v>25</v>
      </c>
      <c r="B3" s="3" t="s">
        <v>47</v>
      </c>
      <c r="C3" s="1" t="s">
        <v>26</v>
      </c>
      <c r="D3" s="3">
        <f>'Uncertainty Worksheet'!D49</f>
        <v>0</v>
      </c>
      <c r="E3" s="1" t="s">
        <v>27</v>
      </c>
      <c r="F3" s="624"/>
      <c r="G3" s="624"/>
      <c r="H3" s="624"/>
      <c r="I3" s="624"/>
      <c r="J3" s="624"/>
      <c r="K3" s="335" t="s">
        <v>551</v>
      </c>
      <c r="L3" s="336">
        <v>2</v>
      </c>
      <c r="M3" s="470"/>
      <c r="N3" s="471">
        <v>0.95450000000000002</v>
      </c>
      <c r="O3" s="470"/>
      <c r="P3" s="470"/>
    </row>
    <row r="4" spans="1:16" x14ac:dyDescent="0.25">
      <c r="A4" s="1" t="s">
        <v>28</v>
      </c>
      <c r="B4" s="3" t="s">
        <v>49</v>
      </c>
      <c r="C4" s="691" t="s">
        <v>30</v>
      </c>
      <c r="D4" s="757"/>
      <c r="E4" s="757"/>
      <c r="F4" s="757"/>
      <c r="G4" s="757"/>
      <c r="H4" s="757"/>
      <c r="I4" s="757"/>
      <c r="J4" s="757"/>
      <c r="K4" s="335" t="s">
        <v>552</v>
      </c>
      <c r="L4" s="335">
        <v>2.5779999999999998</v>
      </c>
      <c r="M4" s="470"/>
      <c r="N4" s="472">
        <v>0.99</v>
      </c>
      <c r="O4" s="470"/>
      <c r="P4" s="470"/>
    </row>
    <row r="5" spans="1:16" x14ac:dyDescent="0.25">
      <c r="A5" s="1" t="s">
        <v>29</v>
      </c>
      <c r="B5" s="32">
        <f>'Uncertainty Worksheet'!B51</f>
        <v>0</v>
      </c>
      <c r="C5" s="691"/>
      <c r="D5" s="757"/>
      <c r="E5" s="757"/>
      <c r="F5" s="757"/>
      <c r="G5" s="757"/>
      <c r="H5" s="757"/>
      <c r="I5" s="757"/>
      <c r="J5" s="757"/>
      <c r="K5" s="335" t="s">
        <v>553</v>
      </c>
      <c r="L5" s="336">
        <v>3</v>
      </c>
      <c r="M5" s="470"/>
      <c r="N5" s="471">
        <v>0.99729999999999996</v>
      </c>
      <c r="O5" s="470"/>
      <c r="P5" s="470"/>
    </row>
    <row r="6" spans="1:16" ht="45" x14ac:dyDescent="0.25">
      <c r="A6" s="1" t="s">
        <v>22</v>
      </c>
      <c r="B6" s="1" t="s">
        <v>0</v>
      </c>
      <c r="C6" s="1" t="s">
        <v>1</v>
      </c>
      <c r="D6" s="1" t="s">
        <v>2</v>
      </c>
      <c r="E6" s="1" t="s">
        <v>3</v>
      </c>
      <c r="F6" s="1" t="s">
        <v>4</v>
      </c>
      <c r="G6" s="1" t="s">
        <v>5</v>
      </c>
      <c r="H6" s="1" t="s">
        <v>32</v>
      </c>
      <c r="I6" s="2" t="s">
        <v>6</v>
      </c>
      <c r="J6" s="1" t="s">
        <v>31</v>
      </c>
      <c r="K6" s="335" t="s">
        <v>18</v>
      </c>
      <c r="L6" s="335">
        <v>0</v>
      </c>
      <c r="M6" s="470"/>
      <c r="N6" s="470"/>
      <c r="O6" s="470"/>
      <c r="P6" s="470"/>
    </row>
    <row r="7" spans="1:16" x14ac:dyDescent="0.25">
      <c r="A7" s="1" t="str">
        <f>'R &amp; R Between Techs'!A7</f>
        <v>Repeatability Between Techs</v>
      </c>
      <c r="B7" s="1" t="e">
        <f>'R &amp; R Between Techs'!D62</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5"/>
      <c r="L7" s="335"/>
      <c r="M7" s="470"/>
      <c r="N7" s="470"/>
      <c r="O7" s="470"/>
      <c r="P7" s="470"/>
    </row>
    <row r="8" spans="1:16" x14ac:dyDescent="0.25">
      <c r="A8" s="62" t="str">
        <f>'R &amp; R Between Techs'!A8</f>
        <v>Reproducibility Between Techs</v>
      </c>
      <c r="B8" s="62" t="e">
        <f>'R &amp; R Between Techs'!E62</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5"/>
      <c r="L8" s="335"/>
      <c r="M8" s="470"/>
      <c r="N8" s="470"/>
      <c r="O8" s="470"/>
      <c r="P8" s="470"/>
    </row>
    <row r="9" spans="1:16" x14ac:dyDescent="0.25">
      <c r="A9" s="76"/>
      <c r="B9" s="77"/>
      <c r="C9" s="78"/>
      <c r="D9" s="79"/>
      <c r="E9" s="80"/>
      <c r="F9" s="61"/>
      <c r="G9" s="81"/>
      <c r="H9" s="81"/>
      <c r="I9" s="82"/>
      <c r="J9" s="83"/>
      <c r="K9" s="335" t="s">
        <v>8</v>
      </c>
      <c r="L9" s="336">
        <v>1</v>
      </c>
      <c r="M9" s="470"/>
      <c r="N9" s="470"/>
      <c r="O9" s="470"/>
      <c r="P9" s="470"/>
    </row>
    <row r="10" spans="1:16"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7">
        <f>IF('R &amp; R Between Techs'!E5="Y",(O10),(O11))</f>
        <v>-1</v>
      </c>
      <c r="G10" s="73" t="str">
        <f t="shared" si="1"/>
        <v xml:space="preserve"> </v>
      </c>
      <c r="H10" s="73" t="str">
        <f t="shared" si="2"/>
        <v xml:space="preserve"> </v>
      </c>
      <c r="I10" s="74" t="str">
        <f>IF(ISERROR(H10/$H19), " ", (H10/$H19))</f>
        <v xml:space="preserve"> </v>
      </c>
      <c r="J10" s="75" t="str">
        <f t="shared" si="3"/>
        <v xml:space="preserve"> </v>
      </c>
      <c r="K10" s="335" t="s">
        <v>19</v>
      </c>
      <c r="L10" s="336">
        <v>1.7320508075688772</v>
      </c>
      <c r="M10" s="470"/>
      <c r="N10" s="470" t="e">
        <f>I25*TINV((1-0.6826),(COUNT(C25:G25)-1))</f>
        <v>#VALUE!</v>
      </c>
      <c r="O10" s="473">
        <v>1000</v>
      </c>
      <c r="P10" s="470"/>
    </row>
    <row r="11" spans="1:16" x14ac:dyDescent="0.25">
      <c r="A11" s="13" t="str">
        <f>'Uncertainty Worksheet'!A55</f>
        <v>ASTM E74 LLF</v>
      </c>
      <c r="B11" s="18">
        <f>IF(A11="ASTM E74 LLF",'Uncertainty Worksheet'!B55,
   IF(A11="ISO 376 Uncertainty",'Uncertainty Worksheet'!X30,
   IF(A11="ISO 376 % or % Per Point",'Uncertainty Worksheet'!M17,0)))</f>
        <v>0</v>
      </c>
      <c r="C11" s="35" t="str">
        <f>'Uncertainty Worksheet'!C55</f>
        <v>A</v>
      </c>
      <c r="D11" s="71" t="str">
        <f>'Uncertainty Worksheet'!D55</f>
        <v>Normal</v>
      </c>
      <c r="E11" s="8">
        <f t="shared" si="0"/>
        <v>1</v>
      </c>
      <c r="F11" s="3">
        <f>'Uncertainty Worksheet'!F55</f>
        <v>32</v>
      </c>
      <c r="G11" s="19">
        <f t="shared" si="1"/>
        <v>0</v>
      </c>
      <c r="H11" s="19">
        <f t="shared" si="2"/>
        <v>0</v>
      </c>
      <c r="I11" s="12">
        <f>IF(ISERROR(H11/$H19), " ", (H11/$H19))</f>
        <v>0</v>
      </c>
      <c r="J11" s="5">
        <f t="shared" si="3"/>
        <v>0</v>
      </c>
      <c r="K11" s="335" t="s">
        <v>11</v>
      </c>
      <c r="L11" s="336">
        <v>3.4641016151377544</v>
      </c>
      <c r="M11" s="470"/>
      <c r="N11" s="474" t="e">
        <f>G26</f>
        <v>#DIV/0!</v>
      </c>
      <c r="O11" s="473">
        <f>COUNT(C25:G25)-1</f>
        <v>-1</v>
      </c>
      <c r="P11" s="470"/>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f>IF(ISERROR(H12/$H19), " ", (H12/$H19))</f>
        <v>0</v>
      </c>
      <c r="J12" s="5">
        <f t="shared" si="3"/>
        <v>0</v>
      </c>
      <c r="K12" s="335" t="s">
        <v>20</v>
      </c>
      <c r="L12" s="336">
        <v>2.4494897427831779</v>
      </c>
      <c r="M12" s="470"/>
      <c r="N12" s="475"/>
      <c r="O12" s="476"/>
      <c r="P12" s="470"/>
    </row>
    <row r="13" spans="1:16" x14ac:dyDescent="0.25">
      <c r="A13" s="13" t="str">
        <f>'Uncertainty Worksheet'!A57</f>
        <v>Environmental Conditions</v>
      </c>
      <c r="B13" s="18">
        <f>'Uncertainty Worksheet'!T9</f>
        <v>0</v>
      </c>
      <c r="C13" s="35" t="str">
        <f>'Uncertainty Worksheet'!C57</f>
        <v>B</v>
      </c>
      <c r="D13" s="71" t="str">
        <f>'Uncertainty Worksheet'!D57</f>
        <v>Rectangular</v>
      </c>
      <c r="E13" s="8">
        <f t="shared" si="0"/>
        <v>1.7320508075688772</v>
      </c>
      <c r="F13" s="3">
        <v>200</v>
      </c>
      <c r="G13" s="19">
        <f t="shared" si="1"/>
        <v>0</v>
      </c>
      <c r="H13" s="19">
        <f t="shared" si="2"/>
        <v>0</v>
      </c>
      <c r="I13" s="12">
        <f>IF(ISERROR(H13/$H19), " ", (H13/$H19))</f>
        <v>0</v>
      </c>
      <c r="J13" s="5">
        <f t="shared" si="3"/>
        <v>0</v>
      </c>
      <c r="K13" s="470"/>
      <c r="L13" s="470"/>
      <c r="M13" s="470"/>
      <c r="N13" s="470"/>
      <c r="O13" s="470"/>
      <c r="P13" s="470"/>
    </row>
    <row r="14" spans="1:16" x14ac:dyDescent="0.25">
      <c r="A14" s="13" t="str">
        <f>'Uncertainty Worksheet'!A58</f>
        <v>Stability of  Ref Standard</v>
      </c>
      <c r="B14" s="18" t="str">
        <f>'Uncertainty Worksheet'!Q9</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70"/>
      <c r="L14" s="470"/>
      <c r="M14" s="470"/>
      <c r="N14" s="470"/>
      <c r="O14" s="470"/>
      <c r="P14" s="470"/>
    </row>
    <row r="15" spans="1:16" x14ac:dyDescent="0.25">
      <c r="A15" s="13" t="str">
        <f>'Uncertainty Worksheet'!A59</f>
        <v>Ref Standard Resolution</v>
      </c>
      <c r="B15" s="18">
        <f>'Uncertainty Worksheet'!B59</f>
        <v>2.4E-2</v>
      </c>
      <c r="C15" s="35" t="str">
        <f>'Uncertainty Worksheet'!C59</f>
        <v>B</v>
      </c>
      <c r="D15" s="71" t="str">
        <f>'Uncertainty Worksheet'!D59</f>
        <v>Resolution</v>
      </c>
      <c r="E15" s="8">
        <f>LOOKUP(D15,Distribution)</f>
        <v>3.4641016151377544</v>
      </c>
      <c r="F15" s="3">
        <v>200</v>
      </c>
      <c r="G15" s="19">
        <f t="shared" si="1"/>
        <v>6.9282032302755096E-3</v>
      </c>
      <c r="H15" s="19">
        <f t="shared" si="2"/>
        <v>4.8000000000000008E-5</v>
      </c>
      <c r="I15" s="12">
        <f>IF(ISERROR(H15/$H19), " ", (H15/$H19))</f>
        <v>1</v>
      </c>
      <c r="J15" s="5">
        <f t="shared" si="3"/>
        <v>1.1520000000000004E-11</v>
      </c>
      <c r="K15" s="470"/>
      <c r="L15" s="470"/>
      <c r="M15" s="470"/>
      <c r="N15" s="470"/>
      <c r="O15" s="470"/>
      <c r="P15" s="470"/>
    </row>
    <row r="16" spans="1:16" ht="30" x14ac:dyDescent="0.25">
      <c r="A16" s="13" t="str">
        <f>'Uncertainty Worksheet'!A60</f>
        <v>Non ASTM or ISO 376 (Tolerance,Non-Linearity,SEB)</v>
      </c>
      <c r="B16" s="18" t="str">
        <f>'Uncertainty Worksheet'!R86</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2" x14ac:dyDescent="0.25">
      <c r="A17" s="13" t="str">
        <f>'Uncertainty Worksheet'!A61</f>
        <v>Miscellaneous Error</v>
      </c>
      <c r="B17" s="18" t="str">
        <f>IF('Uncertainty Worksheet'!B61=0, "",'Uncertainty Worksheet'!R52)</f>
        <v/>
      </c>
      <c r="C17" s="121" t="str">
        <f>IF('Uncertainty Worksheet'!B61=0, "",'Uncertainty Worksheet'!C61)</f>
        <v/>
      </c>
      <c r="D17" s="121" t="str">
        <f>IF('Uncertainty Worksheet'!B61=0, "",'Uncertainty Worksheet'!D61)</f>
        <v/>
      </c>
      <c r="E17" s="164"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2"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2" ht="18" x14ac:dyDescent="0.35">
      <c r="A19" s="7"/>
      <c r="B19" s="7"/>
      <c r="D19" s="706" t="s">
        <v>52</v>
      </c>
      <c r="E19" s="619"/>
      <c r="F19" s="620"/>
      <c r="G19" s="20">
        <f>SQRT(H19)</f>
        <v>6.9282032302755096E-3</v>
      </c>
      <c r="H19" s="21">
        <f>SUM(H7:H18)</f>
        <v>4.8000000000000008E-5</v>
      </c>
      <c r="I19" s="17">
        <f>SUM(I7:I18)</f>
        <v>1</v>
      </c>
      <c r="J19" s="16">
        <f>SUM(J7:J18)</f>
        <v>1.1520000000000004E-11</v>
      </c>
    </row>
    <row r="20" spans="1:12" x14ac:dyDescent="0.25">
      <c r="A20" s="7"/>
      <c r="B20" s="7"/>
      <c r="D20" s="644" t="s">
        <v>12</v>
      </c>
      <c r="E20" s="644"/>
      <c r="F20" s="644"/>
      <c r="G20" s="14">
        <f>IF(ISERROR(INT(G19^4/J19)), " ", INT(G19^4/J19))</f>
        <v>200</v>
      </c>
      <c r="H20" s="21"/>
      <c r="I20" s="6"/>
      <c r="J20" s="6"/>
    </row>
    <row r="21" spans="1:12" x14ac:dyDescent="0.25">
      <c r="A21" s="29"/>
      <c r="B21" s="7"/>
      <c r="D21" s="764" t="s">
        <v>539</v>
      </c>
      <c r="E21" s="765"/>
      <c r="F21" s="256">
        <f>'R &amp; R Between Techs'!F21</f>
        <v>0.95450000000000002</v>
      </c>
      <c r="G21" s="250">
        <f>IF(ISERROR(TINV((1-F21),G20)), " ", TINV((1-F21),G20))</f>
        <v>2.0125794050712815</v>
      </c>
      <c r="H21" s="25"/>
      <c r="I21" s="6"/>
      <c r="J21" s="6"/>
    </row>
    <row r="22" spans="1:12" x14ac:dyDescent="0.25">
      <c r="A22" s="7"/>
      <c r="B22" s="7"/>
      <c r="D22" s="692" t="s">
        <v>109</v>
      </c>
      <c r="E22" s="692"/>
      <c r="F22" s="692"/>
      <c r="G22" s="28">
        <f>IF(ISERROR(G19*G21), " ", G19*G21)</f>
        <v>1.3943559135400817E-2</v>
      </c>
      <c r="H22" s="30" t="e">
        <f>G22/(MAX(B25:B25))</f>
        <v>#DIV/0!</v>
      </c>
    </row>
    <row r="23" spans="1:12" x14ac:dyDescent="0.25">
      <c r="A23" s="677" t="s">
        <v>150</v>
      </c>
      <c r="B23" s="678"/>
      <c r="C23" s="678"/>
      <c r="D23" s="678"/>
      <c r="E23" s="678"/>
      <c r="F23" s="678"/>
      <c r="G23" s="678"/>
      <c r="H23" s="678"/>
      <c r="I23" s="678"/>
      <c r="J23" s="678"/>
      <c r="K23" s="678"/>
      <c r="L23" s="679"/>
    </row>
    <row r="24" spans="1:12" x14ac:dyDescent="0.25">
      <c r="A24" s="4">
        <v>3</v>
      </c>
      <c r="B24" s="22" t="s">
        <v>42</v>
      </c>
      <c r="C24" s="22" t="s">
        <v>38</v>
      </c>
      <c r="D24" s="22" t="s">
        <v>39</v>
      </c>
      <c r="E24" s="22" t="s">
        <v>40</v>
      </c>
      <c r="F24" s="22" t="s">
        <v>93</v>
      </c>
      <c r="G24" s="22" t="s">
        <v>534</v>
      </c>
      <c r="H24" s="22" t="s">
        <v>41</v>
      </c>
      <c r="I24" s="22" t="s">
        <v>43</v>
      </c>
      <c r="J24" s="57" t="s">
        <v>59</v>
      </c>
      <c r="K24" s="57" t="s">
        <v>46</v>
      </c>
      <c r="L24" s="57" t="str">
        <f>'Uncertainty Worksheet'!$C$11</f>
        <v>lbf</v>
      </c>
    </row>
    <row r="25" spans="1:12" x14ac:dyDescent="0.25">
      <c r="A25" s="11" t="s">
        <v>44</v>
      </c>
      <c r="B25" s="460">
        <f>'Uncertainty Worksheet'!B71</f>
        <v>0</v>
      </c>
      <c r="C25" s="460" t="str">
        <f>'Uncertainty Worksheet'!C71</f>
        <v/>
      </c>
      <c r="D25" s="460" t="str">
        <f>'Uncertainty Worksheet'!D71</f>
        <v/>
      </c>
      <c r="E25" s="460" t="str">
        <f>'Uncertainty Worksheet'!E71</f>
        <v/>
      </c>
      <c r="F25" s="460" t="str">
        <f>'Uncertainty Worksheet'!F71</f>
        <v/>
      </c>
      <c r="G25" s="460" t="str">
        <f>'Uncertainty Worksheet'!G71</f>
        <v/>
      </c>
      <c r="H25" s="142" t="str">
        <f>IF(ISERROR(AVERAGE(C25:F25)), " ", AVERAGE(C25:F25))</f>
        <v xml:space="preserve"> </v>
      </c>
      <c r="I25" s="461" t="str">
        <f>IF(ISERROR(STDEV(C25:F25)), " ", STDEV(C25:F25))</f>
        <v xml:space="preserve"> </v>
      </c>
      <c r="J25" s="462" t="str">
        <f>'Uncertainty Worksheet'!R68</f>
        <v/>
      </c>
      <c r="K25" s="463" t="e">
        <f>B25*J25</f>
        <v>#VALUE!</v>
      </c>
      <c r="L25" s="463" t="e">
        <f>B25*J25</f>
        <v>#VALUE!</v>
      </c>
    </row>
    <row r="26" spans="1:12" x14ac:dyDescent="0.25">
      <c r="C26" t="str">
        <f>IF(ISERROR(STDEV(I25:I25)), " ", STDEV(I25:I25))</f>
        <v xml:space="preserve"> </v>
      </c>
      <c r="D26" s="761" t="s">
        <v>45</v>
      </c>
      <c r="E26" s="762"/>
      <c r="F26" s="763"/>
      <c r="G26" s="454" t="e">
        <f>SQRT((SUMSQ(I25:I25)/COUNT(I25:I25)))</f>
        <v>#DIV/0!</v>
      </c>
      <c r="I26" s="232"/>
      <c r="J26" s="343" t="str">
        <f>IF(ISERROR(STDEV(J25:J25)), " ", STDEV(J25:J25))</f>
        <v xml:space="preserve"> </v>
      </c>
      <c r="K26" s="343" t="str">
        <f>IF(ISERROR(STDEV(K25:K25)), " ", STDEV(K25:K25))</f>
        <v xml:space="preserve"> </v>
      </c>
    </row>
    <row r="29" spans="1:12" x14ac:dyDescent="0.25">
      <c r="A29" s="58" t="s">
        <v>111</v>
      </c>
    </row>
    <row r="30" spans="1:12" x14ac:dyDescent="0.25">
      <c r="A30" s="7"/>
      <c r="B30" s="7"/>
    </row>
    <row r="31" spans="1:12" x14ac:dyDescent="0.25">
      <c r="A31" s="7"/>
      <c r="B31" s="7"/>
    </row>
    <row r="32" spans="1:12"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37" priority="1" operator="greaterThan">
      <formula>999</formula>
    </cfRule>
    <cfRule type="cellIs" dxfId="36" priority="2" operator="greaterThan">
      <formula>1000</formula>
    </cfRule>
    <cfRule type="cellIs" dxfId="35"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600-000000000000}">
      <formula1>$K$1:$K$12</formula1>
    </dataValidation>
    <dataValidation type="list" allowBlank="1" showInputMessage="1" showErrorMessage="1" promptTitle="Select Confidence Interval" prompt="Select Confidence Interval. Default is 95.45%" sqref="F21" xr:uid="{05A3473B-B0AF-4429-8874-EB6DF10C7D7E}">
      <formula1>$N$1:$N$5</formula1>
    </dataValidation>
  </dataValidations>
  <pageMargins left="0.7" right="0.7" top="0.75" bottom="0.75" header="0.3" footer="0.3"/>
  <pageSetup scale="64" fitToHeight="0" orientation="landscape" r:id="rId1"/>
  <ignoredErrors>
    <ignoredError sqref="F21 B5 D7:D8 F17" unlockedFormula="1"/>
    <ignoredError sqref="H25:L25 B7:B8 H22 G26" evalError="1"/>
    <ignoredError sqref="B10:B18 C10:C18 D10:D18 B25:G25" evalError="1" unlockedFormula="1"/>
    <ignoredError sqref="E17" formula="1"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B2C07CACFD6C4BAC6E85CF35BE7FB0" ma:contentTypeVersion="21" ma:contentTypeDescription="Create a new document." ma:contentTypeScope="" ma:versionID="62b776596e775bc077c40c8a43d8ea98">
  <xsd:schema xmlns:xsd="http://www.w3.org/2001/XMLSchema" xmlns:xs="http://www.w3.org/2001/XMLSchema" xmlns:p="http://schemas.microsoft.com/office/2006/metadata/properties" xmlns:ns2="431d60b5-bc3f-4264-9286-e22c2945c1ae" xmlns:ns3="6de2c958-59a2-4e5f-8237-3461fd469209" targetNamespace="http://schemas.microsoft.com/office/2006/metadata/properties" ma:root="true" ma:fieldsID="074975b60a7fb088120a8f71d89e55f0" ns2:_="" ns3:_="">
    <xsd:import namespace="431d60b5-bc3f-4264-9286-e22c2945c1ae"/>
    <xsd:import namespace="6de2c958-59a2-4e5f-8237-3461fd46920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DateandTime" minOccurs="0"/>
                <xsd:element ref="ns2:Image"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1d60b5-bc3f-4264-9286-e22c2945c1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DateandTime" ma:index="17" nillable="true" ma:displayName="Date and Time" ma:format="DateTime" ma:internalName="DateandTime">
      <xsd:simpleType>
        <xsd:restriction base="dms:DateTime"/>
      </xsd:simpleType>
    </xsd:element>
    <xsd:element name="Image" ma:index="18" nillable="true" ma:displayName="Image" ma:format="Thumbnail" ma:internalName="Imag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dfdc529c-f654-4511-b109-7eaba649430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e2c958-59a2-4e5f-8237-3461fd469209"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d4f8ba4e-a110-4358-acde-8cfefa4f458d}" ma:internalName="TaxCatchAll" ma:showField="CatchAllData" ma:web="6de2c958-59a2-4e5f-8237-3461fd4692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31d60b5-bc3f-4264-9286-e22c2945c1ae">
      <Terms xmlns="http://schemas.microsoft.com/office/infopath/2007/PartnerControls"/>
    </lcf76f155ced4ddcb4097134ff3c332f>
    <TaxCatchAll xmlns="6de2c958-59a2-4e5f-8237-3461fd469209" xsi:nil="true"/>
    <Image xmlns="431d60b5-bc3f-4264-9286-e22c2945c1ae" xsi:nil="true"/>
    <DateandTime xmlns="431d60b5-bc3f-4264-9286-e22c2945c1ae" xsi:nil="true"/>
  </documentManagement>
</p:properties>
</file>

<file path=customXml/itemProps1.xml><?xml version="1.0" encoding="utf-8"?>
<ds:datastoreItem xmlns:ds="http://schemas.openxmlformats.org/officeDocument/2006/customXml" ds:itemID="{1826CB8D-E572-4E3E-928C-22E677A50F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1d60b5-bc3f-4264-9286-e22c2945c1ae"/>
    <ds:schemaRef ds:uri="6de2c958-59a2-4e5f-8237-3461fd4692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C6D04B-6312-4D8F-9AC2-CCEAC5F5693B}">
  <ds:schemaRefs>
    <ds:schemaRef ds:uri="http://schemas.microsoft.com/sharepoint/v3/contenttype/forms"/>
  </ds:schemaRefs>
</ds:datastoreItem>
</file>

<file path=customXml/itemProps3.xml><?xml version="1.0" encoding="utf-8"?>
<ds:datastoreItem xmlns:ds="http://schemas.openxmlformats.org/officeDocument/2006/customXml" ds:itemID="{E68DC2EF-37C6-40FB-A7E7-512D625E59B1}">
  <ds:schemaRefs>
    <ds:schemaRef ds:uri="http://schemas.microsoft.com/office/infopath/2007/PartnerControls"/>
    <ds:schemaRef ds:uri="http://schemas.microsoft.com/office/2006/metadata/properties"/>
    <ds:schemaRef ds:uri="431d60b5-bc3f-4264-9286-e22c2945c1ae"/>
    <ds:schemaRef ds:uri="http://purl.org/dc/dcmitype/"/>
    <ds:schemaRef ds:uri="http://purl.org/dc/elements/1.1/"/>
    <ds:schemaRef ds:uri="http://schemas.microsoft.com/office/2006/documentManagement/types"/>
    <ds:schemaRef ds:uri="http://www.w3.org/XML/1998/namespace"/>
    <ds:schemaRef ds:uri="http://schemas.openxmlformats.org/package/2006/metadata/core-properties"/>
    <ds:schemaRef ds:uri="6de2c958-59a2-4e5f-8237-3461fd469209"/>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30</vt:i4>
      </vt:variant>
    </vt:vector>
  </HeadingPairs>
  <TitlesOfParts>
    <vt:vector size="51" baseType="lpstr">
      <vt:lpstr>Instructions</vt:lpstr>
      <vt:lpstr>Validation Record</vt:lpstr>
      <vt:lpstr>Definitions</vt:lpstr>
      <vt:lpstr>Uncertainty Worksheet</vt:lpstr>
      <vt:lpstr>R &amp; R Between Techs</vt:lpstr>
      <vt:lpstr>CMC Summary</vt:lpstr>
      <vt:lpstr>1</vt:lpstr>
      <vt:lpstr>2</vt:lpstr>
      <vt:lpstr>3</vt:lpstr>
      <vt:lpstr>4</vt:lpstr>
      <vt:lpstr>5</vt:lpstr>
      <vt:lpstr>6</vt:lpstr>
      <vt:lpstr>7</vt:lpstr>
      <vt:lpstr>8</vt:lpstr>
      <vt:lpstr>9</vt:lpstr>
      <vt:lpstr>10</vt:lpstr>
      <vt:lpstr>11</vt:lpstr>
      <vt:lpstr>12</vt:lpstr>
      <vt:lpstr>Calc Resoution Ex</vt:lpstr>
      <vt:lpstr>PT Data Entry</vt:lpstr>
      <vt:lpstr>ILC Results </vt:lpstr>
      <vt:lpstr>'1'!Distribution</vt:lpstr>
      <vt:lpstr>'10'!Distribution</vt:lpstr>
      <vt:lpstr>'11'!Distribution</vt:lpstr>
      <vt:lpstr>'12'!Distribution</vt:lpstr>
      <vt:lpstr>'2'!Distribution</vt:lpstr>
      <vt:lpstr>'3'!Distribution</vt:lpstr>
      <vt:lpstr>'4'!Distribution</vt:lpstr>
      <vt:lpstr>'5'!Distribution</vt:lpstr>
      <vt:lpstr>'6'!Distribution</vt:lpstr>
      <vt:lpstr>'7'!Distribution</vt:lpstr>
      <vt:lpstr>'8'!Distribution</vt:lpstr>
      <vt:lpstr>'9'!Distribution</vt:lpstr>
      <vt:lpstr>'R &amp; R Between Techs'!Distribution</vt:lpstr>
      <vt:lpstr>'Uncertainty Worksheet'!Distribution</vt:lpstr>
      <vt:lpstr>Divisor</vt:lpstr>
      <vt:lpstr>'1'!Print_Area</vt:lpstr>
      <vt:lpstr>'10'!Print_Area</vt:lpstr>
      <vt:lpstr>'11'!Print_Area</vt:lpstr>
      <vt:lpstr>'12'!Print_Area</vt:lpstr>
      <vt:lpstr>'2'!Print_Area</vt:lpstr>
      <vt:lpstr>'3'!Print_Area</vt:lpstr>
      <vt:lpstr>'4'!Print_Area</vt:lpstr>
      <vt:lpstr>'5'!Print_Area</vt:lpstr>
      <vt:lpstr>'6'!Print_Area</vt:lpstr>
      <vt:lpstr>'7'!Print_Area</vt:lpstr>
      <vt:lpstr>'8'!Print_Area</vt:lpstr>
      <vt:lpstr>'9'!Print_Area</vt:lpstr>
      <vt:lpstr>'CMC Summary'!Print_Area</vt:lpstr>
      <vt:lpstr>'Uncertainty Worksheet'!Print_Area</vt:lpstr>
      <vt:lpstr>'Validation Record'!Print_Area</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Force CMC Assistant</dc:title>
  <dc:creator>Dilip Shah;Henry Zumbrun - www.mhforce.com</dc:creator>
  <cp:lastModifiedBy>Henry A. Zumbrun</cp:lastModifiedBy>
  <cp:lastPrinted>2015-04-03T14:48:33Z</cp:lastPrinted>
  <dcterms:created xsi:type="dcterms:W3CDTF">2012-06-05T14:20:57Z</dcterms:created>
  <dcterms:modified xsi:type="dcterms:W3CDTF">2026-03-13T17:03:33Z</dcterms:modified>
  <cp:category>Measurement Uncertainty</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Author">
    <vt:lpwstr>ACCT01\ekeeney</vt:lpwstr>
  </property>
  <property fmtid="{D5CDD505-2E9C-101B-9397-08002B2CF9AE}" pid="3" name="Document Sensitivity">
    <vt:lpwstr>1</vt:lpwstr>
  </property>
  <property fmtid="{D5CDD505-2E9C-101B-9397-08002B2CF9AE}" pid="4" name="ThirdParty">
    <vt:lpwstr/>
  </property>
  <property fmtid="{D5CDD505-2E9C-101B-9397-08002B2CF9AE}" pid="5" name="OCI Restriction">
    <vt:bool>false</vt:bool>
  </property>
  <property fmtid="{D5CDD505-2E9C-101B-9397-08002B2CF9AE}" pid="6" name="OCI Additional Info">
    <vt:lpwstr/>
  </property>
  <property fmtid="{D5CDD505-2E9C-101B-9397-08002B2CF9AE}" pid="7" name="Allow Header Overwrite">
    <vt:bool>true</vt:bool>
  </property>
  <property fmtid="{D5CDD505-2E9C-101B-9397-08002B2CF9AE}" pid="8" name="Allow Footer Overwrite">
    <vt:bool>true</vt:bool>
  </property>
  <property fmtid="{D5CDD505-2E9C-101B-9397-08002B2CF9AE}" pid="9" name="Multiple Selected">
    <vt:lpwstr>-1</vt:lpwstr>
  </property>
  <property fmtid="{D5CDD505-2E9C-101B-9397-08002B2CF9AE}" pid="10" name="SIPLongWording">
    <vt:lpwstr/>
  </property>
  <property fmtid="{D5CDD505-2E9C-101B-9397-08002B2CF9AE}" pid="11" name="checkedProgramsCount">
    <vt:i4>0</vt:i4>
  </property>
  <property fmtid="{D5CDD505-2E9C-101B-9397-08002B2CF9AE}" pid="12" name="ExpCountry">
    <vt:lpwstr/>
  </property>
  <property fmtid="{D5CDD505-2E9C-101B-9397-08002B2CF9AE}" pid="13" name="ContentTypeId">
    <vt:lpwstr>0x01010054B2C07CACFD6C4BAC6E85CF35BE7FB0</vt:lpwstr>
  </property>
  <property fmtid="{D5CDD505-2E9C-101B-9397-08002B2CF9AE}" pid="14" name="Order">
    <vt:r8>479600</vt:r8>
  </property>
  <property fmtid="{D5CDD505-2E9C-101B-9397-08002B2CF9AE}" pid="15" name="MediaServiceImageTags">
    <vt:lpwstr/>
  </property>
</Properties>
</file>